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activeTab="0"/>
  </bookViews>
  <sheets>
    <sheet name="Invest" sheetId="1" r:id="rId1"/>
  </sheets>
  <externalReferences>
    <externalReference r:id="rId4"/>
  </externalReferences>
  <definedNames>
    <definedName name="_xlnm.Print_Area" localSheetId="0">'Invest'!$A$1:$X$108</definedName>
  </definedNames>
  <calcPr fullCalcOnLoad="1"/>
</workbook>
</file>

<file path=xl/sharedStrings.xml><?xml version="1.0" encoding="utf-8"?>
<sst xmlns="http://schemas.openxmlformats.org/spreadsheetml/2006/main" count="316" uniqueCount="63">
  <si>
    <t>سندات</t>
  </si>
  <si>
    <t>خارجي</t>
  </si>
  <si>
    <t>داخلي</t>
  </si>
  <si>
    <t>طويلة اجل</t>
  </si>
  <si>
    <t>قصيرة اجل</t>
  </si>
  <si>
    <t xml:space="preserve">ترست </t>
  </si>
  <si>
    <t xml:space="preserve">الشركة </t>
  </si>
  <si>
    <t xml:space="preserve">استثمارات عقارية  </t>
  </si>
  <si>
    <t xml:space="preserve">ودائع بنكية </t>
  </si>
  <si>
    <t xml:space="preserve">أخرى </t>
  </si>
  <si>
    <t xml:space="preserve">الوطنية </t>
  </si>
  <si>
    <t xml:space="preserve">العالمية </t>
  </si>
  <si>
    <t>فلسطين</t>
  </si>
  <si>
    <t>التكافل</t>
  </si>
  <si>
    <t xml:space="preserve">المشرق </t>
  </si>
  <si>
    <t xml:space="preserve">اليكو </t>
  </si>
  <si>
    <t xml:space="preserve">الرهن العقاري </t>
  </si>
  <si>
    <t xml:space="preserve">القطاع </t>
  </si>
  <si>
    <t xml:space="preserve">المجموع </t>
  </si>
  <si>
    <t xml:space="preserve">اسهم </t>
  </si>
  <si>
    <t>العملة: (دولار امريكي)</t>
  </si>
  <si>
    <t>Currency: (US Dollar)</t>
  </si>
  <si>
    <t>الاستثمارات</t>
  </si>
  <si>
    <t>Investments</t>
  </si>
  <si>
    <t>الاهلية</t>
  </si>
  <si>
    <t>اجمالي المخصص</t>
  </si>
  <si>
    <t>حصة معيد التأمين</t>
  </si>
  <si>
    <t>البيان</t>
  </si>
  <si>
    <t>Total provision</t>
  </si>
  <si>
    <t>Reinsurer's share</t>
  </si>
  <si>
    <t xml:space="preserve">Description </t>
  </si>
  <si>
    <t>احتياطي الاخطار السارية</t>
  </si>
  <si>
    <t>Current risk reserve</t>
  </si>
  <si>
    <t>الاحتياطي  الحسابي</t>
  </si>
  <si>
    <t>Mathematical reserve</t>
  </si>
  <si>
    <t>احتياطي ادعاءات تحت التسوية</t>
  </si>
  <si>
    <t>Outstanding claims reserve</t>
  </si>
  <si>
    <t>احتياطي ادعاءات غير مبلغ عنها</t>
  </si>
  <si>
    <t>Unreported claims reserve</t>
  </si>
  <si>
    <t>المجموع</t>
  </si>
  <si>
    <t>Total</t>
  </si>
  <si>
    <t>تمكين</t>
  </si>
  <si>
    <t>*Statistics not included financial statement of the  Ahleia Insurance Group</t>
  </si>
  <si>
    <t xml:space="preserve">* الاحصائيات لا تشمل البيانات المالية لشركة المجموعه الاهلية للتامين </t>
  </si>
  <si>
    <t xml:space="preserve">Analysis of investments &amp; technical reserves as it is on 31/03/2021 :-    </t>
  </si>
  <si>
    <t>تحليل الاستثمارات والاحتياطيات الفنية كما في 31/03/2021*</t>
  </si>
  <si>
    <t>تحليل الاستثمارات والاحتياطيات الفنية كما في 30/06/2021 :- *</t>
  </si>
  <si>
    <t xml:space="preserve">Analysis of investments &amp; technical reserves as it is on 30/06/2021 :- * </t>
  </si>
  <si>
    <t>تحليل الاستثمارات والاحتياطيات الفنية كما في 30/09/2021 :- *</t>
  </si>
  <si>
    <t>Analysis of investments &amp; technical reserves as it is on 30/09/2021 :-   *</t>
  </si>
  <si>
    <t>استثمارات عقارية</t>
  </si>
  <si>
    <t>31/3/2022</t>
  </si>
  <si>
    <t>30/6/2022</t>
  </si>
  <si>
    <t>30/9/2022</t>
  </si>
  <si>
    <t>31/12/2022</t>
  </si>
  <si>
    <t xml:space="preserve">الاستثمارات </t>
  </si>
  <si>
    <t xml:space="preserve">Investments </t>
  </si>
  <si>
    <t xml:space="preserve">31/03/2022 </t>
  </si>
  <si>
    <t xml:space="preserve">30/06/2022 </t>
  </si>
  <si>
    <t>تحليل الاستثمارات والاحتياطيات الفنية كما في 31/03/2022  :-</t>
  </si>
  <si>
    <t>تحليل الاستثمارات والاحتياطيات الفنية كما في 30/06/2022  :-</t>
  </si>
  <si>
    <t xml:space="preserve">Analysis of investments &amp; technical reserves as it is on 30/06/2022  :- </t>
  </si>
  <si>
    <t xml:space="preserve">Analysis of investments &amp; technical reserves as it is on 31/03/2022 :-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</si>
</sst>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_-* #,##0_-;_-* #,##0\-;_-* &quot;-&quot;??_-;_-@_-"/>
    <numFmt numFmtId="173" formatCode="#,##0_-"/>
    <numFmt numFmtId="174" formatCode="[$-401]hh:mm:ss\ AM/PM"/>
    <numFmt numFmtId="175" formatCode="0.0"/>
    <numFmt numFmtId="176" formatCode="_-* #,##0.0_-;_-* #,##0.0\-;_-* &quot;-&quot;??_-;_-@_-"/>
    <numFmt numFmtId="177" formatCode="_-* #,##0.0000_-;_-* #,##0.0000\-;_-* &quot;-&quot;????_-;_-@_-"/>
    <numFmt numFmtId="178" formatCode="_-* #,##0.00000000_-;_-* #,##0.00000000\-;_-* &quot;-&quot;????????_-;_-@_-"/>
    <numFmt numFmtId="179" formatCode="_(* #,##0.00000000_);_(* \(#,##0.00000000\);_(* &quot;-&quot;??????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0;[Red]0"/>
    <numFmt numFmtId="186" formatCode="#,##0.00000000"/>
    <numFmt numFmtId="187" formatCode="#,##0.0000;[Red]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b/>
      <sz val="11"/>
      <color indexed="54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 Body"/>
      <family val="0"/>
    </font>
    <font>
      <sz val="11"/>
      <color indexed="54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b/>
      <sz val="11"/>
      <color rgb="FF5A4573"/>
      <name val="Arial"/>
      <family val="2"/>
    </font>
    <font>
      <b/>
      <sz val="10"/>
      <color rgb="FF5A4573"/>
      <name val="Arial"/>
      <family val="2"/>
    </font>
    <font>
      <b/>
      <sz val="11"/>
      <color rgb="FF5A4573"/>
      <name val="Arial Body"/>
      <family val="0"/>
    </font>
    <font>
      <sz val="11"/>
      <color rgb="FF5A4573"/>
      <name val="Arial Body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8E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/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4999699890613556"/>
      </top>
      <bottom style="medium">
        <color theme="7" tint="-0.4999699890613556"/>
      </bottom>
    </border>
    <border>
      <left/>
      <right/>
      <top style="thin">
        <color theme="7" tint="-0.24997000396251678"/>
      </top>
      <bottom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theme="7" tint="-0.24997000396251678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thin">
        <color theme="7" tint="-0.24997000396251678"/>
      </bottom>
    </border>
    <border>
      <left/>
      <right/>
      <top style="medium">
        <color theme="7" tint="-0.24997000396251678"/>
      </top>
      <bottom/>
    </border>
    <border>
      <left>
        <color indexed="63"/>
      </left>
      <right style="thin">
        <color theme="7" tint="-0.24997000396251678"/>
      </right>
      <top style="medium">
        <color theme="7" tint="-0.24997000396251678"/>
      </top>
      <bottom style="thin">
        <color theme="7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 vertical="center" wrapText="1"/>
    </xf>
    <xf numFmtId="0" fontId="42" fillId="34" borderId="0" xfId="0" applyFont="1" applyFill="1" applyAlignment="1">
      <alignment horizontal="center" vertical="center" wrapText="1"/>
    </xf>
    <xf numFmtId="0" fontId="42" fillId="35" borderId="0" xfId="0" applyFont="1" applyFill="1" applyAlignment="1">
      <alignment horizontal="center" vertical="center" wrapText="1"/>
    </xf>
    <xf numFmtId="172" fontId="43" fillId="33" borderId="0" xfId="42" applyNumberFormat="1" applyFont="1" applyFill="1" applyAlignment="1">
      <alignment horizontal="center" vertical="center" wrapText="1"/>
    </xf>
    <xf numFmtId="172" fontId="43" fillId="35" borderId="0" xfId="42" applyNumberFormat="1" applyFont="1" applyFill="1" applyAlignment="1">
      <alignment horizontal="center" vertical="center" wrapText="1"/>
    </xf>
    <xf numFmtId="172" fontId="43" fillId="34" borderId="0" xfId="42" applyNumberFormat="1" applyFont="1" applyFill="1" applyAlignment="1">
      <alignment horizontal="center" vertical="center" wrapText="1"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172" fontId="42" fillId="0" borderId="10" xfId="42" applyNumberFormat="1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172" fontId="43" fillId="34" borderId="0" xfId="42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172" fontId="43" fillId="0" borderId="0" xfId="42" applyNumberFormat="1" applyFont="1" applyFill="1" applyAlignment="1">
      <alignment horizontal="center" vertical="center" wrapText="1"/>
    </xf>
    <xf numFmtId="0" fontId="45" fillId="0" borderId="0" xfId="0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2" fillId="33" borderId="0" xfId="0" applyFont="1" applyFill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172" fontId="43" fillId="0" borderId="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0" fillId="0" borderId="0" xfId="60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2" fontId="44" fillId="0" borderId="0" xfId="0" applyNumberFormat="1" applyFont="1" applyBorder="1" applyAlignment="1" applyProtection="1">
      <alignment horizontal="right" vertical="center"/>
      <protection/>
    </xf>
    <xf numFmtId="171" fontId="45" fillId="0" borderId="0" xfId="42" applyFont="1" applyBorder="1" applyAlignment="1" applyProtection="1">
      <alignment horizontal="right" vertical="center"/>
      <protection/>
    </xf>
    <xf numFmtId="173" fontId="46" fillId="36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vertical="center"/>
      <protection locked="0"/>
    </xf>
    <xf numFmtId="0" fontId="46" fillId="0" borderId="12" xfId="0" applyFont="1" applyFill="1" applyBorder="1" applyAlignment="1" applyProtection="1">
      <alignment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173" fontId="47" fillId="0" borderId="0" xfId="0" applyNumberFormat="1" applyFont="1" applyFill="1" applyBorder="1" applyAlignment="1" applyProtection="1">
      <alignment horizontal="center" vertical="center" wrapText="1"/>
      <protection/>
    </xf>
    <xf numFmtId="173" fontId="47" fillId="36" borderId="0" xfId="0" applyNumberFormat="1" applyFont="1" applyFill="1" applyBorder="1" applyAlignment="1" applyProtection="1">
      <alignment horizontal="center" vertical="center" wrapText="1"/>
      <protection/>
    </xf>
    <xf numFmtId="184" fontId="43" fillId="33" borderId="0" xfId="42" applyNumberFormat="1" applyFont="1" applyFill="1" applyAlignment="1">
      <alignment horizontal="center" vertical="center" wrapText="1"/>
    </xf>
    <xf numFmtId="184" fontId="43" fillId="35" borderId="0" xfId="42" applyNumberFormat="1" applyFont="1" applyFill="1" applyAlignment="1">
      <alignment horizontal="center" vertical="center" wrapText="1"/>
    </xf>
    <xf numFmtId="184" fontId="43" fillId="34" borderId="0" xfId="42" applyNumberFormat="1" applyFont="1" applyFill="1" applyAlignment="1">
      <alignment horizontal="center" vertical="center" wrapText="1"/>
    </xf>
    <xf numFmtId="184" fontId="43" fillId="34" borderId="0" xfId="42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2" fillId="33" borderId="0" xfId="0" applyFont="1" applyFill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173" fontId="46" fillId="36" borderId="11" xfId="0" applyNumberFormat="1" applyFont="1" applyFill="1" applyBorder="1" applyAlignment="1" applyProtection="1">
      <alignment horizontal="center" vertical="center" wrapText="1"/>
      <protection/>
    </xf>
    <xf numFmtId="184" fontId="42" fillId="35" borderId="0" xfId="42" applyNumberFormat="1" applyFont="1" applyFill="1" applyBorder="1" applyAlignment="1">
      <alignment horizontal="center" vertical="center" wrapText="1" readingOrder="1"/>
    </xf>
    <xf numFmtId="184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84" fontId="0" fillId="0" borderId="0" xfId="42" applyNumberFormat="1" applyFont="1" applyAlignment="1">
      <alignment horizontal="center" vertical="center"/>
    </xf>
    <xf numFmtId="184" fontId="0" fillId="0" borderId="0" xfId="42" applyNumberFormat="1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173" fontId="46" fillId="36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vertical="center"/>
      <protection/>
    </xf>
    <xf numFmtId="14" fontId="46" fillId="0" borderId="0" xfId="0" applyNumberFormat="1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 applyProtection="1">
      <alignment vertical="center" wrapText="1"/>
      <protection locked="0"/>
    </xf>
    <xf numFmtId="184" fontId="42" fillId="35" borderId="14" xfId="42" applyNumberFormat="1" applyFont="1" applyFill="1" applyBorder="1" applyAlignment="1">
      <alignment horizontal="left" vertical="center" wrapText="1"/>
    </xf>
    <xf numFmtId="184" fontId="47" fillId="0" borderId="15" xfId="42" applyNumberFormat="1" applyFont="1" applyFill="1" applyBorder="1" applyAlignment="1" applyProtection="1">
      <alignment horizontal="center" vertical="center"/>
      <protection/>
    </xf>
    <xf numFmtId="184" fontId="47" fillId="36" borderId="0" xfId="42" applyNumberFormat="1" applyFont="1" applyFill="1" applyBorder="1" applyAlignment="1" applyProtection="1">
      <alignment horizontal="center" vertical="center"/>
      <protection/>
    </xf>
    <xf numFmtId="184" fontId="47" fillId="0" borderId="0" xfId="42" applyNumberFormat="1" applyFont="1" applyFill="1" applyBorder="1" applyAlignment="1" applyProtection="1">
      <alignment horizontal="center" vertical="center"/>
      <protection/>
    </xf>
    <xf numFmtId="184" fontId="47" fillId="36" borderId="0" xfId="0" applyNumberFormat="1" applyFont="1" applyFill="1" applyBorder="1" applyAlignment="1" applyProtection="1">
      <alignment horizontal="center" vertical="center"/>
      <protection/>
    </xf>
    <xf numFmtId="171" fontId="43" fillId="33" borderId="0" xfId="42" applyFont="1" applyFill="1" applyAlignment="1">
      <alignment horizontal="center" vertical="center" wrapText="1"/>
    </xf>
    <xf numFmtId="171" fontId="43" fillId="35" borderId="0" xfId="42" applyFont="1" applyFill="1" applyAlignment="1">
      <alignment horizontal="center" vertical="center" wrapText="1"/>
    </xf>
    <xf numFmtId="171" fontId="43" fillId="34" borderId="0" xfId="42" applyFont="1" applyFill="1" applyAlignment="1">
      <alignment horizontal="center" vertical="center" wrapText="1"/>
    </xf>
    <xf numFmtId="171" fontId="43" fillId="34" borderId="0" xfId="42" applyFont="1" applyFill="1" applyBorder="1" applyAlignment="1">
      <alignment horizontal="center" vertical="center" wrapText="1"/>
    </xf>
    <xf numFmtId="0" fontId="42" fillId="0" borderId="0" xfId="57" applyFont="1" applyBorder="1" applyAlignment="1">
      <alignment horizontal="center" vertical="center" wrapText="1"/>
      <protection/>
    </xf>
    <xf numFmtId="172" fontId="42" fillId="0" borderId="0" xfId="44" applyNumberFormat="1" applyFont="1" applyBorder="1" applyAlignment="1">
      <alignment horizontal="center" vertical="center" wrapText="1"/>
    </xf>
    <xf numFmtId="0" fontId="42" fillId="33" borderId="16" xfId="57" applyFont="1" applyFill="1" applyBorder="1" applyAlignment="1">
      <alignment horizontal="center" vertical="center" wrapText="1"/>
      <protection/>
    </xf>
    <xf numFmtId="184" fontId="43" fillId="33" borderId="16" xfId="44" applyNumberFormat="1" applyFont="1" applyFill="1" applyBorder="1" applyAlignment="1">
      <alignment horizontal="center" vertical="center" wrapText="1"/>
    </xf>
    <xf numFmtId="184" fontId="43" fillId="33" borderId="17" xfId="44" applyNumberFormat="1" applyFont="1" applyFill="1" applyBorder="1" applyAlignment="1">
      <alignment horizontal="center" vertical="center" wrapText="1"/>
    </xf>
    <xf numFmtId="0" fontId="42" fillId="33" borderId="0" xfId="57" applyFont="1" applyFill="1" applyBorder="1" applyAlignment="1">
      <alignment horizontal="center" vertical="center" wrapText="1"/>
      <protection/>
    </xf>
    <xf numFmtId="184" fontId="43" fillId="33" borderId="0" xfId="44" applyNumberFormat="1" applyFont="1" applyFill="1" applyBorder="1" applyAlignment="1">
      <alignment horizontal="center" vertical="center" wrapText="1"/>
    </xf>
    <xf numFmtId="184" fontId="43" fillId="33" borderId="18" xfId="44" applyNumberFormat="1" applyFont="1" applyFill="1" applyBorder="1" applyAlignment="1">
      <alignment horizontal="center" vertical="center" wrapText="1"/>
    </xf>
    <xf numFmtId="0" fontId="42" fillId="0" borderId="0" xfId="57" applyFont="1" applyFill="1" applyBorder="1" applyAlignment="1">
      <alignment horizontal="center" vertical="center" wrapText="1"/>
      <protection/>
    </xf>
    <xf numFmtId="184" fontId="43" fillId="0" borderId="0" xfId="44" applyNumberFormat="1" applyFont="1" applyFill="1" applyBorder="1" applyAlignment="1">
      <alignment horizontal="center" vertical="center" wrapText="1"/>
    </xf>
    <xf numFmtId="184" fontId="43" fillId="0" borderId="18" xfId="44" applyNumberFormat="1" applyFont="1" applyFill="1" applyBorder="1" applyAlignment="1">
      <alignment horizontal="center" vertical="center" wrapText="1"/>
    </xf>
    <xf numFmtId="184" fontId="43" fillId="35" borderId="0" xfId="44" applyNumberFormat="1" applyFont="1" applyFill="1" applyBorder="1" applyAlignment="1">
      <alignment horizontal="center" vertical="center" wrapText="1"/>
    </xf>
    <xf numFmtId="184" fontId="43" fillId="34" borderId="0" xfId="44" applyNumberFormat="1" applyFont="1" applyFill="1" applyBorder="1" applyAlignment="1">
      <alignment horizontal="center" vertical="center" wrapText="1"/>
    </xf>
    <xf numFmtId="0" fontId="42" fillId="33" borderId="19" xfId="57" applyFont="1" applyFill="1" applyBorder="1" applyAlignment="1">
      <alignment horizontal="center" vertical="center" wrapText="1"/>
      <protection/>
    </xf>
    <xf numFmtId="184" fontId="43" fillId="33" borderId="19" xfId="44" applyNumberFormat="1" applyFont="1" applyFill="1" applyBorder="1" applyAlignment="1">
      <alignment horizontal="center" vertical="center" wrapText="1"/>
    </xf>
    <xf numFmtId="184" fontId="43" fillId="33" borderId="20" xfId="44" applyNumberFormat="1" applyFont="1" applyFill="1" applyBorder="1" applyAlignment="1">
      <alignment horizontal="center" vertical="center" wrapText="1"/>
    </xf>
    <xf numFmtId="0" fontId="42" fillId="34" borderId="0" xfId="57" applyFont="1" applyFill="1" applyBorder="1" applyAlignment="1">
      <alignment horizontal="center" vertical="center" wrapText="1"/>
      <protection/>
    </xf>
    <xf numFmtId="0" fontId="42" fillId="35" borderId="10" xfId="57" applyFont="1" applyFill="1" applyBorder="1" applyAlignment="1">
      <alignment horizontal="center" vertical="center" wrapText="1"/>
      <protection/>
    </xf>
    <xf numFmtId="172" fontId="42" fillId="33" borderId="0" xfId="42" applyNumberFormat="1" applyFont="1" applyFill="1" applyBorder="1" applyAlignment="1">
      <alignment horizontal="center" vertical="center" wrapText="1"/>
    </xf>
    <xf numFmtId="0" fontId="42" fillId="34" borderId="0" xfId="57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4" fillId="0" borderId="0" xfId="0" applyFont="1" applyBorder="1" applyAlignment="1" applyProtection="1">
      <alignment horizontal="right" vertical="center"/>
      <protection/>
    </xf>
    <xf numFmtId="0" fontId="42" fillId="35" borderId="0" xfId="57" applyFont="1" applyFill="1" applyBorder="1" applyAlignment="1">
      <alignment horizontal="center" vertical="center" wrapText="1"/>
      <protection/>
    </xf>
    <xf numFmtId="184" fontId="42" fillId="35" borderId="0" xfId="44" applyNumberFormat="1" applyFont="1" applyFill="1" applyBorder="1" applyAlignment="1">
      <alignment horizontal="center" vertical="center" wrapText="1"/>
    </xf>
    <xf numFmtId="184" fontId="42" fillId="35" borderId="0" xfId="44" applyNumberFormat="1" applyFont="1" applyFill="1" applyBorder="1" applyAlignment="1">
      <alignment horizontal="center" vertical="center" wrapText="1" readingOrder="1"/>
    </xf>
    <xf numFmtId="184" fontId="42" fillId="35" borderId="10" xfId="44" applyNumberFormat="1" applyFont="1" applyFill="1" applyBorder="1" applyAlignment="1">
      <alignment horizontal="center" vertical="center" wrapText="1"/>
    </xf>
    <xf numFmtId="184" fontId="42" fillId="35" borderId="10" xfId="44" applyNumberFormat="1" applyFont="1" applyFill="1" applyBorder="1" applyAlignment="1">
      <alignment horizontal="center" vertical="center" wrapText="1" readingOrder="1"/>
    </xf>
    <xf numFmtId="0" fontId="44" fillId="0" borderId="0" xfId="0" applyFont="1" applyBorder="1" applyAlignment="1" applyProtection="1">
      <alignment horizontal="right" vertical="center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46" fillId="0" borderId="10" xfId="0" applyFont="1" applyBorder="1" applyAlignment="1" applyProtection="1">
      <alignment horizontal="right" vertical="center"/>
      <protection locked="0"/>
    </xf>
    <xf numFmtId="0" fontId="42" fillId="0" borderId="21" xfId="57" applyFont="1" applyFill="1" applyBorder="1" applyAlignment="1">
      <alignment horizontal="center" vertical="center" wrapText="1"/>
      <protection/>
    </xf>
    <xf numFmtId="0" fontId="42" fillId="33" borderId="21" xfId="57" applyFont="1" applyFill="1" applyBorder="1" applyAlignment="1">
      <alignment horizontal="center" vertical="center" wrapText="1"/>
      <protection/>
    </xf>
    <xf numFmtId="0" fontId="42" fillId="33" borderId="22" xfId="57" applyFont="1" applyFill="1" applyBorder="1" applyAlignment="1">
      <alignment horizontal="center" vertical="center" wrapText="1"/>
      <protection/>
    </xf>
    <xf numFmtId="0" fontId="42" fillId="34" borderId="0" xfId="57" applyFont="1" applyFill="1" applyBorder="1" applyAlignment="1">
      <alignment horizontal="center" vertical="center" wrapText="1"/>
      <protection/>
    </xf>
    <xf numFmtId="0" fontId="42" fillId="34" borderId="10" xfId="57" applyFont="1" applyFill="1" applyBorder="1" applyAlignment="1">
      <alignment horizontal="center" vertical="center" wrapText="1"/>
      <protection/>
    </xf>
    <xf numFmtId="172" fontId="42" fillId="33" borderId="15" xfId="44" applyNumberFormat="1" applyFont="1" applyFill="1" applyBorder="1" applyAlignment="1">
      <alignment horizontal="center" vertical="center" wrapText="1"/>
    </xf>
    <xf numFmtId="0" fontId="42" fillId="33" borderId="23" xfId="57" applyFont="1" applyFill="1" applyBorder="1" applyAlignment="1">
      <alignment horizontal="center" vertical="center" wrapText="1"/>
      <protection/>
    </xf>
    <xf numFmtId="14" fontId="46" fillId="0" borderId="24" xfId="0" applyNumberFormat="1" applyFont="1" applyFill="1" applyBorder="1" applyAlignment="1" applyProtection="1">
      <alignment horizontal="center" vertical="center"/>
      <protection/>
    </xf>
    <xf numFmtId="14" fontId="46" fillId="0" borderId="25" xfId="0" applyNumberFormat="1" applyFont="1" applyFill="1" applyBorder="1" applyAlignment="1" applyProtection="1">
      <alignment horizontal="center" vertical="center"/>
      <protection/>
    </xf>
    <xf numFmtId="0" fontId="42" fillId="33" borderId="15" xfId="57" applyFont="1" applyFill="1" applyBorder="1" applyAlignment="1">
      <alignment horizontal="center" vertical="center" wrapText="1"/>
      <protection/>
    </xf>
    <xf numFmtId="173" fontId="46" fillId="36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 vertical="center"/>
      <protection/>
    </xf>
    <xf numFmtId="172" fontId="42" fillId="33" borderId="0" xfId="42" applyNumberFormat="1" applyFont="1" applyFill="1" applyBorder="1" applyAlignment="1">
      <alignment horizontal="center" vertical="center" wrapText="1"/>
    </xf>
    <xf numFmtId="184" fontId="42" fillId="35" borderId="10" xfId="42" applyNumberFormat="1" applyFont="1" applyFill="1" applyBorder="1" applyAlignment="1">
      <alignment horizontal="center" vertical="center" wrapText="1"/>
    </xf>
    <xf numFmtId="184" fontId="42" fillId="35" borderId="10" xfId="42" applyNumberFormat="1" applyFont="1" applyFill="1" applyBorder="1" applyAlignment="1">
      <alignment horizontal="center" vertical="center" wrapText="1" readingOrder="1"/>
    </xf>
    <xf numFmtId="0" fontId="42" fillId="33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172" fontId="42" fillId="33" borderId="15" xfId="42" applyNumberFormat="1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4" fillId="0" borderId="0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horizontal="left" vertical="center"/>
      <protection/>
    </xf>
    <xf numFmtId="14" fontId="46" fillId="0" borderId="24" xfId="0" applyNumberFormat="1" applyFont="1" applyFill="1" applyBorder="1" applyAlignment="1" applyProtection="1">
      <alignment horizontal="center"/>
      <protection/>
    </xf>
    <xf numFmtId="14" fontId="46" fillId="0" borderId="25" xfId="0" applyNumberFormat="1" applyFont="1" applyFill="1" applyBorder="1" applyAlignment="1" applyProtection="1">
      <alignment horizontal="center"/>
      <protection/>
    </xf>
    <xf numFmtId="14" fontId="46" fillId="0" borderId="27" xfId="0" applyNumberFormat="1" applyFont="1" applyFill="1" applyBorder="1" applyAlignment="1" applyProtection="1">
      <alignment horizontal="center"/>
      <protection/>
    </xf>
    <xf numFmtId="3" fontId="42" fillId="35" borderId="10" xfId="42" applyNumberFormat="1" applyFont="1" applyFill="1" applyBorder="1" applyAlignment="1">
      <alignment horizontal="center" vertical="center" wrapText="1"/>
    </xf>
    <xf numFmtId="3" fontId="42" fillId="35" borderId="10" xfId="42" applyNumberFormat="1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#&#1602;&#1591;&#1575;&#1593;%20&#1575;&#1604;&#1578;&#1571;&#1605;&#1610;&#1606;\#&#1575;&#1581;&#1589;&#1575;&#1574;&#1610;&#1575;&#1578;%20&#1608;&#1578;&#1602;&#1575;&#1585;&#1610;&#1585;%20&#1602;&#1591;&#1575;&#1593;%20&#1575;&#1604;&#1578;&#1571;&#1605;&#1610;&#1606;\#&#1575;&#1581;&#1589;&#1575;&#1574;&#1610;&#1577;%20&#1602;&#1591;&#1575;&#1593;%20&#1575;&#1604;&#1578;&#1571;&#1605;&#1610;&#1606;%20&#1575;&#1604;&#1585;&#1587;&#1605;&#1610;&#1577;\2022\&#1575;&#1604;&#1585;&#1576;&#1593;%20&#1575;&#1604;&#1579;&#1575;&#1606;&#1610;\&#1575;&#1604;&#1578;&#1588;&#1594;&#1610;&#1604;&#1610;&#1577;\Agg_ope_and_fin_data_2022_Q2_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C26">
            <v>276701341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rightToLeft="1" tabSelected="1" view="pageBreakPreview" zoomScale="85" zoomScaleNormal="55" zoomScaleSheetLayoutView="85" zoomScalePageLayoutView="0" workbookViewId="0" topLeftCell="U77">
      <selection activeCell="W74" sqref="W74"/>
    </sheetView>
  </sheetViews>
  <sheetFormatPr defaultColWidth="11.421875" defaultRowHeight="19.5" customHeight="1"/>
  <cols>
    <col min="1" max="1" width="10.28125" style="0" customWidth="1"/>
    <col min="2" max="2" width="11.421875" style="0" customWidth="1"/>
    <col min="3" max="3" width="14.421875" style="0" customWidth="1"/>
    <col min="4" max="4" width="20.140625" style="0" bestFit="1" customWidth="1"/>
    <col min="5" max="5" width="21.140625" style="0" customWidth="1"/>
    <col min="6" max="6" width="20.7109375" style="0" customWidth="1"/>
    <col min="7" max="7" width="24.421875" style="0" customWidth="1"/>
    <col min="8" max="8" width="23.57421875" style="0" customWidth="1"/>
    <col min="9" max="9" width="24.140625" style="0" customWidth="1"/>
    <col min="10" max="11" width="21.57421875" style="0" customWidth="1"/>
    <col min="12" max="14" width="19.8515625" style="0" customWidth="1"/>
    <col min="15" max="15" width="21.140625" style="0" customWidth="1"/>
    <col min="16" max="16" width="21.28125" style="0" customWidth="1"/>
    <col min="17" max="17" width="13.28125" style="0" bestFit="1" customWidth="1"/>
    <col min="18" max="18" width="14.28125" style="0" bestFit="1" customWidth="1"/>
    <col min="19" max="19" width="14.28125" style="0" customWidth="1"/>
    <col min="20" max="20" width="12.8515625" style="0" customWidth="1"/>
    <col min="21" max="21" width="13.7109375" style="0" customWidth="1"/>
    <col min="22" max="22" width="13.28125" style="0" customWidth="1"/>
    <col min="23" max="23" width="15.421875" style="0" customWidth="1"/>
    <col min="24" max="24" width="18.140625" style="0" customWidth="1"/>
    <col min="25" max="25" width="12.00390625" style="0" bestFit="1" customWidth="1"/>
  </cols>
  <sheetData>
    <row r="1" spans="1:24" ht="14.25" hidden="1">
      <c r="A1" s="98" t="s">
        <v>45</v>
      </c>
      <c r="B1" s="98"/>
      <c r="C1" s="98"/>
      <c r="D1" s="98"/>
      <c r="E1" s="98"/>
      <c r="F1" s="7"/>
      <c r="G1" s="7"/>
      <c r="H1" s="128" t="s">
        <v>44</v>
      </c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14.25" hidden="1">
      <c r="A2" s="99" t="s">
        <v>20</v>
      </c>
      <c r="B2" s="99"/>
      <c r="C2" s="99"/>
      <c r="D2" s="99"/>
      <c r="E2" s="16"/>
      <c r="F2" s="16"/>
      <c r="G2" s="8"/>
      <c r="H2" s="128" t="s">
        <v>21</v>
      </c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8" ht="14.25" hidden="1">
      <c r="A3" s="9"/>
      <c r="B3" s="9"/>
      <c r="C3" s="8"/>
      <c r="D3" s="8"/>
      <c r="E3" s="15"/>
      <c r="F3" s="15"/>
      <c r="G3" s="8"/>
      <c r="H3" s="7"/>
    </row>
    <row r="4" spans="1:24" ht="14.25" hidden="1" thickBot="1">
      <c r="A4" s="100" t="s">
        <v>22</v>
      </c>
      <c r="B4" s="100"/>
      <c r="C4" s="100"/>
      <c r="D4" s="100"/>
      <c r="E4" s="100"/>
      <c r="F4" s="100"/>
      <c r="G4" s="100"/>
      <c r="H4" s="129" t="s">
        <v>23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14.25" hidden="1">
      <c r="A5" s="130">
        <v>44286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2"/>
    </row>
    <row r="6" spans="1:24" ht="19.5" customHeight="1" hidden="1">
      <c r="A6" s="126" t="s">
        <v>6</v>
      </c>
      <c r="B6" s="126"/>
      <c r="C6" s="124" t="s">
        <v>5</v>
      </c>
      <c r="D6" s="124"/>
      <c r="E6" s="124" t="s">
        <v>24</v>
      </c>
      <c r="F6" s="124"/>
      <c r="G6" s="124" t="s">
        <v>10</v>
      </c>
      <c r="H6" s="124"/>
      <c r="I6" s="124" t="s">
        <v>11</v>
      </c>
      <c r="J6" s="124"/>
      <c r="K6" s="124" t="s">
        <v>12</v>
      </c>
      <c r="L6" s="124"/>
      <c r="M6" s="124" t="s">
        <v>41</v>
      </c>
      <c r="N6" s="124"/>
      <c r="O6" s="124" t="s">
        <v>13</v>
      </c>
      <c r="P6" s="124"/>
      <c r="Q6" s="124" t="s">
        <v>14</v>
      </c>
      <c r="R6" s="124"/>
      <c r="S6" s="124" t="s">
        <v>15</v>
      </c>
      <c r="T6" s="124"/>
      <c r="U6" s="124" t="s">
        <v>16</v>
      </c>
      <c r="V6" s="124"/>
      <c r="W6" s="124" t="s">
        <v>17</v>
      </c>
      <c r="X6" s="124"/>
    </row>
    <row r="7" spans="1:24" ht="19.5" customHeight="1" hidden="1" thickBot="1">
      <c r="A7" s="10"/>
      <c r="B7" s="10"/>
      <c r="C7" s="11" t="s">
        <v>1</v>
      </c>
      <c r="D7" s="11" t="s">
        <v>2</v>
      </c>
      <c r="E7" s="11" t="s">
        <v>1</v>
      </c>
      <c r="F7" s="11" t="s">
        <v>2</v>
      </c>
      <c r="G7" s="11" t="s">
        <v>1</v>
      </c>
      <c r="H7" s="11" t="s">
        <v>2</v>
      </c>
      <c r="I7" s="11" t="s">
        <v>1</v>
      </c>
      <c r="J7" s="11" t="s">
        <v>2</v>
      </c>
      <c r="K7" s="11" t="s">
        <v>1</v>
      </c>
      <c r="L7" s="11" t="s">
        <v>2</v>
      </c>
      <c r="M7" s="11" t="s">
        <v>1</v>
      </c>
      <c r="N7" s="11" t="s">
        <v>2</v>
      </c>
      <c r="O7" s="11" t="s">
        <v>1</v>
      </c>
      <c r="P7" s="11" t="s">
        <v>2</v>
      </c>
      <c r="Q7" s="11" t="s">
        <v>1</v>
      </c>
      <c r="R7" s="11" t="s">
        <v>2</v>
      </c>
      <c r="S7" s="11" t="s">
        <v>1</v>
      </c>
      <c r="T7" s="11" t="s">
        <v>2</v>
      </c>
      <c r="U7" s="11" t="s">
        <v>1</v>
      </c>
      <c r="V7" s="11" t="s">
        <v>2</v>
      </c>
      <c r="W7" s="11" t="s">
        <v>1</v>
      </c>
      <c r="X7" s="11" t="s">
        <v>2</v>
      </c>
    </row>
    <row r="8" spans="1:24" ht="19.5" customHeight="1" hidden="1">
      <c r="A8" s="125" t="s">
        <v>19</v>
      </c>
      <c r="B8" s="1" t="s">
        <v>3</v>
      </c>
      <c r="C8" s="4">
        <v>10553558</v>
      </c>
      <c r="D8" s="4">
        <f>8258197+5463208</f>
        <v>13721405</v>
      </c>
      <c r="E8" s="4">
        <v>0</v>
      </c>
      <c r="F8" s="4">
        <v>0</v>
      </c>
      <c r="G8" s="4">
        <f>2408668</f>
        <v>2408668</v>
      </c>
      <c r="H8" s="4">
        <f>815785+1515385</f>
        <v>2331170</v>
      </c>
      <c r="I8" s="4">
        <v>250000</v>
      </c>
      <c r="J8" s="4">
        <v>871997</v>
      </c>
      <c r="K8" s="4"/>
      <c r="L8" s="4">
        <v>273581</v>
      </c>
      <c r="M8" s="4"/>
      <c r="N8" s="4">
        <v>4713861</v>
      </c>
      <c r="O8" s="4">
        <v>379020</v>
      </c>
      <c r="P8" s="4">
        <f>2104316+456016</f>
        <v>2560332</v>
      </c>
      <c r="Q8" s="4">
        <f>1304083+133384</f>
        <v>1437467</v>
      </c>
      <c r="R8" s="4">
        <f>206238+1978+170591+13995+1478128</f>
        <v>1870930</v>
      </c>
      <c r="S8" s="4"/>
      <c r="T8" s="4"/>
      <c r="U8" s="4">
        <v>1766242</v>
      </c>
      <c r="V8" s="4"/>
      <c r="W8" s="4">
        <f>C8+G8+I8+K8+O8+Q8+S8+U8+E8+M8</f>
        <v>16794955</v>
      </c>
      <c r="X8" s="4">
        <f>D8+H8+J8+L8+P8+R8+T8+V8+F8+N8</f>
        <v>26343276</v>
      </c>
    </row>
    <row r="9" spans="1:24" ht="19.5" customHeight="1" hidden="1">
      <c r="A9" s="120"/>
      <c r="B9" s="1" t="s">
        <v>4</v>
      </c>
      <c r="C9" s="4"/>
      <c r="D9" s="4"/>
      <c r="E9" s="4">
        <v>0</v>
      </c>
      <c r="F9" s="4">
        <v>0</v>
      </c>
      <c r="G9" s="4"/>
      <c r="H9" s="4"/>
      <c r="I9" s="4"/>
      <c r="J9" s="4"/>
      <c r="K9" s="4"/>
      <c r="L9" s="4"/>
      <c r="M9" s="4"/>
      <c r="N9" s="4"/>
      <c r="O9" s="4"/>
      <c r="P9" s="4">
        <v>140447</v>
      </c>
      <c r="Q9" s="4">
        <f>5928+195897+9011+38014.55</f>
        <v>248850.55</v>
      </c>
      <c r="R9" s="4">
        <f>406464+14000+98252</f>
        <v>518716</v>
      </c>
      <c r="S9" s="4"/>
      <c r="T9" s="4"/>
      <c r="U9" s="4"/>
      <c r="V9" s="4"/>
      <c r="W9" s="4">
        <f aca="true" t="shared" si="0" ref="W9:W17">C9+G9+I9+K9+O9+Q9+S9+U9+E9+M9</f>
        <v>248850.55</v>
      </c>
      <c r="X9" s="4">
        <f>D9+H9+J9+L9+P9+R9+T9+V9+F9+N9</f>
        <v>659163</v>
      </c>
    </row>
    <row r="10" spans="1:24" ht="19.5" customHeight="1" hidden="1">
      <c r="A10" s="121" t="s">
        <v>0</v>
      </c>
      <c r="B10" s="2" t="s">
        <v>3</v>
      </c>
      <c r="C10" s="5"/>
      <c r="D10" s="5"/>
      <c r="E10" s="5">
        <v>0</v>
      </c>
      <c r="F10" s="5">
        <v>0</v>
      </c>
      <c r="G10" s="5">
        <f>20393739</f>
        <v>20393739</v>
      </c>
      <c r="H10" s="5"/>
      <c r="I10" s="5"/>
      <c r="J10" s="5"/>
      <c r="K10" s="5"/>
      <c r="L10" s="5"/>
      <c r="M10" s="5"/>
      <c r="N10" s="5"/>
      <c r="O10" s="5"/>
      <c r="P10" s="5"/>
      <c r="Q10" s="5">
        <v>70210</v>
      </c>
      <c r="R10" s="5"/>
      <c r="S10" s="6"/>
      <c r="T10" s="5"/>
      <c r="U10" s="5"/>
      <c r="V10" s="5"/>
      <c r="W10" s="22">
        <f t="shared" si="0"/>
        <v>20463949</v>
      </c>
      <c r="X10" s="17">
        <f aca="true" t="shared" si="1" ref="X10:X17">D10+H10+J10+L10+P10+R10+T10+V10+F10+N10</f>
        <v>0</v>
      </c>
    </row>
    <row r="11" spans="1:24" ht="19.5" customHeight="1" hidden="1">
      <c r="A11" s="121"/>
      <c r="B11" s="3" t="s">
        <v>4</v>
      </c>
      <c r="C11" s="6"/>
      <c r="D11" s="6"/>
      <c r="E11" s="6">
        <v>0</v>
      </c>
      <c r="F11" s="6">
        <v>0</v>
      </c>
      <c r="G11" s="6">
        <f>3889987+2193022</f>
        <v>6083009</v>
      </c>
      <c r="H11" s="6">
        <f>500000+6794833</f>
        <v>7294833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2">
        <f t="shared" si="0"/>
        <v>6083009</v>
      </c>
      <c r="X11" s="17">
        <f t="shared" si="1"/>
        <v>7294833</v>
      </c>
    </row>
    <row r="12" spans="1:24" ht="19.5" customHeight="1" hidden="1">
      <c r="A12" s="120" t="s">
        <v>7</v>
      </c>
      <c r="B12" s="1" t="s">
        <v>3</v>
      </c>
      <c r="C12" s="4"/>
      <c r="D12" s="4">
        <v>16673782</v>
      </c>
      <c r="E12" s="4">
        <v>0</v>
      </c>
      <c r="F12" s="4">
        <v>0</v>
      </c>
      <c r="G12" s="4"/>
      <c r="H12" s="4">
        <v>20431339</v>
      </c>
      <c r="I12" s="4"/>
      <c r="J12" s="4">
        <v>13517175</v>
      </c>
      <c r="K12" s="4"/>
      <c r="L12" s="4">
        <v>14393407</v>
      </c>
      <c r="M12" s="4"/>
      <c r="N12" s="4">
        <v>646413</v>
      </c>
      <c r="O12" s="4"/>
      <c r="P12" s="4">
        <v>7907104</v>
      </c>
      <c r="Q12" s="4"/>
      <c r="R12" s="4">
        <v>13941973</v>
      </c>
      <c r="S12" s="4"/>
      <c r="T12" s="4"/>
      <c r="U12" s="4"/>
      <c r="V12" s="4"/>
      <c r="W12" s="4">
        <f t="shared" si="0"/>
        <v>0</v>
      </c>
      <c r="X12" s="4">
        <f t="shared" si="1"/>
        <v>87511193</v>
      </c>
    </row>
    <row r="13" spans="1:24" ht="19.5" customHeight="1" hidden="1">
      <c r="A13" s="120"/>
      <c r="B13" s="1" t="s">
        <v>4</v>
      </c>
      <c r="C13" s="4"/>
      <c r="D13" s="4"/>
      <c r="E13" s="4">
        <v>0</v>
      </c>
      <c r="F13" s="4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1367980</v>
      </c>
      <c r="S13" s="4"/>
      <c r="T13" s="4"/>
      <c r="U13" s="4"/>
      <c r="V13" s="4"/>
      <c r="W13" s="4">
        <f t="shared" si="0"/>
        <v>0</v>
      </c>
      <c r="X13" s="4">
        <f t="shared" si="1"/>
        <v>1367980</v>
      </c>
    </row>
    <row r="14" spans="1:24" ht="19.5" customHeight="1" hidden="1">
      <c r="A14" s="121" t="s">
        <v>8</v>
      </c>
      <c r="B14" s="2" t="s">
        <v>3</v>
      </c>
      <c r="C14" s="6"/>
      <c r="D14" s="5"/>
      <c r="E14" s="5">
        <v>0</v>
      </c>
      <c r="F14" s="5">
        <v>0</v>
      </c>
      <c r="G14" s="6"/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7">
        <f t="shared" si="0"/>
        <v>0</v>
      </c>
      <c r="X14" s="17">
        <f t="shared" si="1"/>
        <v>0</v>
      </c>
    </row>
    <row r="15" spans="1:24" ht="19.5" customHeight="1" hidden="1">
      <c r="A15" s="121"/>
      <c r="B15" s="3" t="s">
        <v>4</v>
      </c>
      <c r="C15" s="6"/>
      <c r="D15" s="5">
        <v>3556697</v>
      </c>
      <c r="E15" s="6">
        <v>0</v>
      </c>
      <c r="F15" s="6">
        <v>0</v>
      </c>
      <c r="G15" s="6"/>
      <c r="H15" s="6">
        <v>3572936</v>
      </c>
      <c r="I15" s="6"/>
      <c r="J15" s="6">
        <f>2061805+2528195</f>
        <v>4590000</v>
      </c>
      <c r="K15" s="6"/>
      <c r="L15" s="6">
        <v>7554102</v>
      </c>
      <c r="M15" s="6"/>
      <c r="N15" s="5">
        <f>2000000+4800000</f>
        <v>6800000</v>
      </c>
      <c r="O15" s="6"/>
      <c r="P15" s="6">
        <v>14443131</v>
      </c>
      <c r="Q15" s="6"/>
      <c r="R15" s="6">
        <f>250000+2894713</f>
        <v>3144713</v>
      </c>
      <c r="S15" s="6"/>
      <c r="T15" s="6">
        <v>4457963</v>
      </c>
      <c r="U15" s="6"/>
      <c r="V15" s="6">
        <v>0</v>
      </c>
      <c r="W15" s="17">
        <f t="shared" si="0"/>
        <v>0</v>
      </c>
      <c r="X15" s="17">
        <f t="shared" si="1"/>
        <v>48119542</v>
      </c>
    </row>
    <row r="16" spans="1:24" ht="19.5" customHeight="1" hidden="1">
      <c r="A16" s="120" t="s">
        <v>9</v>
      </c>
      <c r="B16" s="1" t="s">
        <v>3</v>
      </c>
      <c r="C16" s="4"/>
      <c r="D16" s="4"/>
      <c r="E16" s="4">
        <v>0</v>
      </c>
      <c r="F16" s="4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197545</v>
      </c>
      <c r="S16" s="4"/>
      <c r="T16" s="4">
        <v>340224</v>
      </c>
      <c r="U16" s="4"/>
      <c r="V16" s="4"/>
      <c r="W16" s="4">
        <f t="shared" si="0"/>
        <v>0</v>
      </c>
      <c r="X16" s="4">
        <f t="shared" si="1"/>
        <v>537769</v>
      </c>
    </row>
    <row r="17" spans="1:24" ht="19.5" customHeight="1" hidden="1">
      <c r="A17" s="120"/>
      <c r="B17" s="1" t="s">
        <v>4</v>
      </c>
      <c r="C17" s="4"/>
      <c r="D17" s="4"/>
      <c r="E17" s="4">
        <v>0</v>
      </c>
      <c r="F17" s="4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f t="shared" si="0"/>
        <v>0</v>
      </c>
      <c r="X17" s="4">
        <f t="shared" si="1"/>
        <v>0</v>
      </c>
    </row>
    <row r="18" spans="1:24" ht="19.5" customHeight="1" hidden="1">
      <c r="A18" s="122" t="s">
        <v>18</v>
      </c>
      <c r="B18" s="12"/>
      <c r="C18" s="13">
        <f aca="true" t="shared" si="2" ref="C18:J18">SUM(C8:C17)</f>
        <v>10553558</v>
      </c>
      <c r="D18" s="13">
        <f>SUM(D8:D17)</f>
        <v>33951884</v>
      </c>
      <c r="E18" s="13">
        <f t="shared" si="2"/>
        <v>0</v>
      </c>
      <c r="F18" s="13">
        <f t="shared" si="2"/>
        <v>0</v>
      </c>
      <c r="G18" s="13">
        <f>SUM(G8:G17)</f>
        <v>28885416</v>
      </c>
      <c r="H18" s="13">
        <f>SUM(H8:H17)</f>
        <v>33630278</v>
      </c>
      <c r="I18" s="13">
        <f t="shared" si="2"/>
        <v>250000</v>
      </c>
      <c r="J18" s="13">
        <f t="shared" si="2"/>
        <v>18979172</v>
      </c>
      <c r="K18" s="13">
        <f aca="true" t="shared" si="3" ref="K18:X18">SUM(K8:K17)</f>
        <v>0</v>
      </c>
      <c r="L18" s="13">
        <f t="shared" si="3"/>
        <v>22221090</v>
      </c>
      <c r="M18" s="13">
        <f t="shared" si="3"/>
        <v>0</v>
      </c>
      <c r="N18" s="13">
        <f t="shared" si="3"/>
        <v>12160274</v>
      </c>
      <c r="O18" s="13">
        <f t="shared" si="3"/>
        <v>379020</v>
      </c>
      <c r="P18" s="13">
        <f t="shared" si="3"/>
        <v>25051014</v>
      </c>
      <c r="Q18" s="13">
        <f t="shared" si="3"/>
        <v>1756527.55</v>
      </c>
      <c r="R18" s="13">
        <f t="shared" si="3"/>
        <v>21041857</v>
      </c>
      <c r="S18" s="13">
        <f t="shared" si="3"/>
        <v>0</v>
      </c>
      <c r="T18" s="13">
        <f t="shared" si="3"/>
        <v>4798187</v>
      </c>
      <c r="U18" s="13">
        <f t="shared" si="3"/>
        <v>1766242</v>
      </c>
      <c r="V18" s="13">
        <f t="shared" si="3"/>
        <v>0</v>
      </c>
      <c r="W18" s="13">
        <f t="shared" si="3"/>
        <v>43590763.55</v>
      </c>
      <c r="X18" s="13">
        <f t="shared" si="3"/>
        <v>171833756</v>
      </c>
    </row>
    <row r="19" spans="1:24" ht="19.5" customHeight="1" hidden="1" thickBot="1">
      <c r="A19" s="123"/>
      <c r="B19" s="14"/>
      <c r="C19" s="133">
        <f>C18+D18</f>
        <v>44505442</v>
      </c>
      <c r="D19" s="133"/>
      <c r="E19" s="133">
        <f>E18+F18</f>
        <v>0</v>
      </c>
      <c r="F19" s="133"/>
      <c r="G19" s="133">
        <f>G18+H18</f>
        <v>62515694</v>
      </c>
      <c r="H19" s="133"/>
      <c r="I19" s="133">
        <f>I18+J18</f>
        <v>19229172</v>
      </c>
      <c r="J19" s="133"/>
      <c r="K19" s="133">
        <f>K18+L18</f>
        <v>22221090</v>
      </c>
      <c r="L19" s="133"/>
      <c r="M19" s="133">
        <f>M18+N18</f>
        <v>12160274</v>
      </c>
      <c r="N19" s="133"/>
      <c r="O19" s="133">
        <f>O18+P18</f>
        <v>25430034</v>
      </c>
      <c r="P19" s="133"/>
      <c r="Q19" s="133">
        <f>Q18+R18</f>
        <v>22798384.55</v>
      </c>
      <c r="R19" s="133"/>
      <c r="S19" s="133">
        <f>S18+T18</f>
        <v>4798187</v>
      </c>
      <c r="T19" s="133"/>
      <c r="U19" s="134">
        <f>U18+V18</f>
        <v>1766242</v>
      </c>
      <c r="V19" s="134"/>
      <c r="W19" s="134">
        <f>W18+X18</f>
        <v>215424519.55</v>
      </c>
      <c r="X19" s="134"/>
    </row>
    <row r="20" spans="1:24" ht="14.25" hidden="1">
      <c r="A20" s="98" t="s">
        <v>43</v>
      </c>
      <c r="B20" s="98"/>
      <c r="C20" s="98"/>
      <c r="D20" s="98"/>
      <c r="E20" s="98"/>
      <c r="F20" s="7"/>
      <c r="G20" s="7"/>
      <c r="H20" s="128"/>
      <c r="I20" s="128"/>
      <c r="J20" s="128" t="s">
        <v>42</v>
      </c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</row>
    <row r="21" spans="1:24" ht="14.25" hidden="1">
      <c r="A21" s="55"/>
      <c r="B21" s="55"/>
      <c r="C21" s="55"/>
      <c r="D21" s="55"/>
      <c r="E21" s="55"/>
      <c r="F21" s="7"/>
      <c r="G21" s="7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4.25" hidden="1">
      <c r="A22" s="98" t="s">
        <v>46</v>
      </c>
      <c r="B22" s="98"/>
      <c r="C22" s="98"/>
      <c r="D22" s="98"/>
      <c r="E22" s="98"/>
      <c r="F22" s="7"/>
      <c r="G22" s="7"/>
      <c r="H22" s="128" t="s">
        <v>47</v>
      </c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</row>
    <row r="23" spans="1:24" ht="14.25" hidden="1">
      <c r="A23" s="99" t="s">
        <v>20</v>
      </c>
      <c r="B23" s="99"/>
      <c r="C23" s="99"/>
      <c r="D23" s="99"/>
      <c r="E23" s="28"/>
      <c r="F23" s="18"/>
      <c r="G23" s="27"/>
      <c r="H23" s="128" t="s">
        <v>21</v>
      </c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</row>
    <row r="24" spans="1:8" ht="14.25" hidden="1">
      <c r="A24" s="9"/>
      <c r="B24" s="9"/>
      <c r="C24" s="19"/>
      <c r="D24" s="19"/>
      <c r="E24" s="19"/>
      <c r="F24" s="19"/>
      <c r="G24" s="19"/>
      <c r="H24" s="7"/>
    </row>
    <row r="25" spans="1:24" ht="14.25" hidden="1" thickBot="1">
      <c r="A25" s="100" t="s">
        <v>22</v>
      </c>
      <c r="B25" s="100"/>
      <c r="C25" s="100"/>
      <c r="D25" s="100"/>
      <c r="E25" s="100"/>
      <c r="F25" s="100"/>
      <c r="G25" s="100"/>
      <c r="H25" s="129" t="s">
        <v>23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1:24" ht="14.25" hidden="1">
      <c r="A26" s="130">
        <v>44377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2"/>
    </row>
    <row r="27" spans="1:24" ht="19.5" customHeight="1" hidden="1">
      <c r="A27" s="126" t="s">
        <v>6</v>
      </c>
      <c r="B27" s="126"/>
      <c r="C27" s="124" t="s">
        <v>5</v>
      </c>
      <c r="D27" s="124"/>
      <c r="E27" s="124" t="s">
        <v>24</v>
      </c>
      <c r="F27" s="124"/>
      <c r="G27" s="124" t="s">
        <v>10</v>
      </c>
      <c r="H27" s="124"/>
      <c r="I27" s="124" t="s">
        <v>11</v>
      </c>
      <c r="J27" s="124"/>
      <c r="K27" s="124" t="s">
        <v>12</v>
      </c>
      <c r="L27" s="124"/>
      <c r="M27" s="124" t="s">
        <v>41</v>
      </c>
      <c r="N27" s="124"/>
      <c r="O27" s="124" t="s">
        <v>13</v>
      </c>
      <c r="P27" s="124"/>
      <c r="Q27" s="124" t="s">
        <v>14</v>
      </c>
      <c r="R27" s="124"/>
      <c r="S27" s="124" t="s">
        <v>15</v>
      </c>
      <c r="T27" s="124"/>
      <c r="U27" s="124" t="s">
        <v>16</v>
      </c>
      <c r="V27" s="124"/>
      <c r="W27" s="124" t="s">
        <v>17</v>
      </c>
      <c r="X27" s="124"/>
    </row>
    <row r="28" spans="1:24" ht="19.5" customHeight="1" hidden="1" thickBot="1">
      <c r="A28" s="10"/>
      <c r="B28" s="10"/>
      <c r="C28" s="11" t="s">
        <v>1</v>
      </c>
      <c r="D28" s="11" t="s">
        <v>2</v>
      </c>
      <c r="E28" s="11" t="s">
        <v>1</v>
      </c>
      <c r="F28" s="11" t="s">
        <v>2</v>
      </c>
      <c r="G28" s="11" t="s">
        <v>1</v>
      </c>
      <c r="H28" s="11" t="s">
        <v>2</v>
      </c>
      <c r="I28" s="11" t="s">
        <v>1</v>
      </c>
      <c r="J28" s="11" t="s">
        <v>2</v>
      </c>
      <c r="K28" s="11" t="s">
        <v>1</v>
      </c>
      <c r="L28" s="11" t="s">
        <v>2</v>
      </c>
      <c r="M28" s="11" t="s">
        <v>1</v>
      </c>
      <c r="N28" s="11" t="s">
        <v>2</v>
      </c>
      <c r="O28" s="11" t="s">
        <v>1</v>
      </c>
      <c r="P28" s="11" t="s">
        <v>2</v>
      </c>
      <c r="Q28" s="11" t="s">
        <v>1</v>
      </c>
      <c r="R28" s="11" t="s">
        <v>2</v>
      </c>
      <c r="S28" s="11" t="s">
        <v>1</v>
      </c>
      <c r="T28" s="11" t="s">
        <v>2</v>
      </c>
      <c r="U28" s="11" t="s">
        <v>1</v>
      </c>
      <c r="V28" s="11" t="s">
        <v>2</v>
      </c>
      <c r="W28" s="11" t="s">
        <v>1</v>
      </c>
      <c r="X28" s="11" t="s">
        <v>2</v>
      </c>
    </row>
    <row r="29" spans="1:24" ht="19.5" customHeight="1" hidden="1">
      <c r="A29" s="125" t="s">
        <v>19</v>
      </c>
      <c r="B29" s="20" t="s">
        <v>3</v>
      </c>
      <c r="C29" s="37">
        <f>6341357+3040732</f>
        <v>9382089</v>
      </c>
      <c r="D29" s="37">
        <f>14092346-323</f>
        <v>14092023</v>
      </c>
      <c r="E29" s="67">
        <v>0</v>
      </c>
      <c r="F29" s="67">
        <v>0</v>
      </c>
      <c r="G29" s="37"/>
      <c r="H29" s="37">
        <f>3315012+1524356</f>
        <v>4839368</v>
      </c>
      <c r="I29" s="37"/>
      <c r="J29" s="37">
        <v>250000</v>
      </c>
      <c r="K29" s="37"/>
      <c r="L29" s="37">
        <v>271555</v>
      </c>
      <c r="M29" s="37"/>
      <c r="N29" s="37">
        <v>7910206</v>
      </c>
      <c r="O29" s="37">
        <v>491137</v>
      </c>
      <c r="P29" s="37">
        <f>2700275+456016</f>
        <v>3156291</v>
      </c>
      <c r="Q29" s="37">
        <v>1633365.6431593795</v>
      </c>
      <c r="R29" s="37">
        <v>2879043.1800000006</v>
      </c>
      <c r="S29" s="37"/>
      <c r="T29" s="37"/>
      <c r="U29" s="37">
        <v>2276394</v>
      </c>
      <c r="V29" s="37"/>
      <c r="W29" s="37">
        <f>C29+G29+I29+K29+O29+Q29+S29+U29+E29+M29</f>
        <v>13782985.64315938</v>
      </c>
      <c r="X29" s="37">
        <f>D29+H29+J29+L29+P29+R29+T29+V29+F29+N29</f>
        <v>33398486.18</v>
      </c>
    </row>
    <row r="30" spans="1:24" ht="19.5" customHeight="1" hidden="1">
      <c r="A30" s="120"/>
      <c r="B30" s="20" t="s">
        <v>4</v>
      </c>
      <c r="C30" s="37"/>
      <c r="D30" s="37"/>
      <c r="E30" s="67">
        <v>0</v>
      </c>
      <c r="F30" s="67">
        <v>0</v>
      </c>
      <c r="G30" s="37">
        <f>1662656</f>
        <v>1662656</v>
      </c>
      <c r="H30" s="37">
        <f>6651100-G30</f>
        <v>4988444</v>
      </c>
      <c r="I30" s="37">
        <f>322452-178065</f>
        <v>144387</v>
      </c>
      <c r="J30" s="37">
        <f>4195+607743+91055+213264+74885+452-178065</f>
        <v>813529</v>
      </c>
      <c r="K30" s="37"/>
      <c r="L30" s="37"/>
      <c r="M30" s="37"/>
      <c r="N30" s="37"/>
      <c r="O30" s="37"/>
      <c r="P30" s="37">
        <v>184337</v>
      </c>
      <c r="Q30" s="37">
        <v>110708.92524682652</v>
      </c>
      <c r="R30" s="37">
        <v>1361163.9211001412</v>
      </c>
      <c r="S30" s="37"/>
      <c r="T30" s="37"/>
      <c r="U30" s="37"/>
      <c r="V30" s="37"/>
      <c r="W30" s="37">
        <f aca="true" t="shared" si="4" ref="W30:W38">C30+G30+I30+K30+O30+Q30+S30+U30+E30+M30</f>
        <v>1917751.9252468266</v>
      </c>
      <c r="X30" s="37">
        <f aca="true" t="shared" si="5" ref="X30:X38">D30+H30+J30+L30+P30+R30+T30+V30+F30+N30</f>
        <v>7347473.9211001415</v>
      </c>
    </row>
    <row r="31" spans="1:24" ht="19.5" customHeight="1" hidden="1">
      <c r="A31" s="121" t="s">
        <v>0</v>
      </c>
      <c r="B31" s="2" t="s">
        <v>3</v>
      </c>
      <c r="C31" s="38"/>
      <c r="D31" s="38"/>
      <c r="E31" s="68">
        <v>0</v>
      </c>
      <c r="F31" s="68">
        <v>0</v>
      </c>
      <c r="G31" s="38">
        <v>19954279</v>
      </c>
      <c r="H31" s="38"/>
      <c r="I31" s="38"/>
      <c r="J31" s="38"/>
      <c r="K31" s="38"/>
      <c r="L31" s="38"/>
      <c r="M31" s="38"/>
      <c r="N31" s="38"/>
      <c r="O31" s="38"/>
      <c r="P31" s="38"/>
      <c r="Q31" s="38">
        <v>70612</v>
      </c>
      <c r="R31" s="38"/>
      <c r="S31" s="38">
        <v>3442629</v>
      </c>
      <c r="T31" s="38"/>
      <c r="U31" s="38"/>
      <c r="V31" s="38"/>
      <c r="W31" s="38">
        <f t="shared" si="4"/>
        <v>23467520</v>
      </c>
      <c r="X31" s="38">
        <f t="shared" si="5"/>
        <v>0</v>
      </c>
    </row>
    <row r="32" spans="1:24" ht="19.5" customHeight="1" hidden="1">
      <c r="A32" s="121"/>
      <c r="B32" s="3" t="s">
        <v>4</v>
      </c>
      <c r="C32" s="39"/>
      <c r="D32" s="39"/>
      <c r="E32" s="69">
        <v>0</v>
      </c>
      <c r="F32" s="69">
        <v>0</v>
      </c>
      <c r="G32" s="39">
        <v>3499578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>
        <f t="shared" si="4"/>
        <v>3499578</v>
      </c>
      <c r="X32" s="39">
        <f t="shared" si="5"/>
        <v>0</v>
      </c>
    </row>
    <row r="33" spans="1:24" ht="19.5" customHeight="1" hidden="1">
      <c r="A33" s="120" t="s">
        <v>7</v>
      </c>
      <c r="B33" s="20" t="s">
        <v>3</v>
      </c>
      <c r="C33" s="37"/>
      <c r="D33" s="37">
        <v>16673782</v>
      </c>
      <c r="E33" s="67">
        <v>0</v>
      </c>
      <c r="F33" s="67">
        <v>0</v>
      </c>
      <c r="G33" s="37"/>
      <c r="H33" s="37">
        <v>20724451</v>
      </c>
      <c r="I33" s="37"/>
      <c r="J33" s="37">
        <v>13517175</v>
      </c>
      <c r="K33" s="37"/>
      <c r="L33" s="37">
        <v>14746620</v>
      </c>
      <c r="M33" s="37"/>
      <c r="N33" s="37">
        <v>2397000</v>
      </c>
      <c r="O33" s="37"/>
      <c r="P33" s="37">
        <v>7904104</v>
      </c>
      <c r="Q33" s="37"/>
      <c r="R33" s="37">
        <v>13769070</v>
      </c>
      <c r="S33" s="37"/>
      <c r="T33" s="37"/>
      <c r="U33" s="37"/>
      <c r="V33" s="37"/>
      <c r="W33" s="37">
        <f>C33+G33+I33+K33+O33+Q33+S33+U33+E33+M33</f>
        <v>0</v>
      </c>
      <c r="X33" s="37">
        <f t="shared" si="5"/>
        <v>89732202</v>
      </c>
    </row>
    <row r="34" spans="1:24" ht="19.5" customHeight="1" hidden="1">
      <c r="A34" s="120"/>
      <c r="B34" s="20" t="s">
        <v>4</v>
      </c>
      <c r="C34" s="37"/>
      <c r="D34" s="37"/>
      <c r="E34" s="67">
        <v>0</v>
      </c>
      <c r="F34" s="67">
        <v>0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>
        <f t="shared" si="4"/>
        <v>0</v>
      </c>
      <c r="X34" s="37">
        <f t="shared" si="5"/>
        <v>0</v>
      </c>
    </row>
    <row r="35" spans="1:24" ht="19.5" customHeight="1" hidden="1">
      <c r="A35" s="121" t="s">
        <v>8</v>
      </c>
      <c r="B35" s="2" t="s">
        <v>3</v>
      </c>
      <c r="C35" s="39"/>
      <c r="D35" s="38"/>
      <c r="E35" s="68">
        <v>0</v>
      </c>
      <c r="F35" s="68">
        <v>0</v>
      </c>
      <c r="G35" s="50"/>
      <c r="H35" s="51"/>
      <c r="I35" s="38"/>
      <c r="J35" s="38"/>
      <c r="K35" s="38"/>
      <c r="L35" s="38"/>
      <c r="M35" s="38"/>
      <c r="N35" s="38">
        <v>2000000</v>
      </c>
      <c r="O35" s="38"/>
      <c r="P35" s="38"/>
      <c r="Q35" s="38"/>
      <c r="R35" s="38"/>
      <c r="S35" s="38"/>
      <c r="T35" s="38"/>
      <c r="U35" s="38"/>
      <c r="V35" s="38"/>
      <c r="W35" s="38">
        <f t="shared" si="4"/>
        <v>0</v>
      </c>
      <c r="X35" s="38">
        <f t="shared" si="5"/>
        <v>2000000</v>
      </c>
    </row>
    <row r="36" spans="1:24" ht="19.5" customHeight="1" hidden="1">
      <c r="A36" s="121"/>
      <c r="B36" s="3" t="s">
        <v>4</v>
      </c>
      <c r="C36" s="39"/>
      <c r="D36" s="39">
        <v>3529226</v>
      </c>
      <c r="E36" s="69">
        <v>0</v>
      </c>
      <c r="F36" s="69">
        <v>0</v>
      </c>
      <c r="G36" s="38"/>
      <c r="H36" s="38">
        <f>400000+3245136</f>
        <v>3645136</v>
      </c>
      <c r="I36" s="39"/>
      <c r="J36" s="39">
        <f>2528196+1161805</f>
        <v>3690001</v>
      </c>
      <c r="K36" s="39"/>
      <c r="L36" s="39">
        <f>4929753+1957800</f>
        <v>6887553</v>
      </c>
      <c r="M36" s="39"/>
      <c r="N36" s="38">
        <v>2000000</v>
      </c>
      <c r="O36" s="39"/>
      <c r="P36" s="39">
        <v>15506559</v>
      </c>
      <c r="Q36" s="39"/>
      <c r="R36" s="39"/>
      <c r="S36" s="39"/>
      <c r="T36" s="39">
        <f>4041562+500000</f>
        <v>4541562</v>
      </c>
      <c r="U36" s="39"/>
      <c r="V36" s="39"/>
      <c r="W36" s="39">
        <f t="shared" si="4"/>
        <v>0</v>
      </c>
      <c r="X36" s="39">
        <f t="shared" si="5"/>
        <v>39800037</v>
      </c>
    </row>
    <row r="37" spans="1:24" ht="19.5" customHeight="1" hidden="1">
      <c r="A37" s="120" t="s">
        <v>9</v>
      </c>
      <c r="B37" s="20" t="s">
        <v>3</v>
      </c>
      <c r="C37" s="37"/>
      <c r="D37" s="37"/>
      <c r="E37" s="67">
        <v>0</v>
      </c>
      <c r="F37" s="67">
        <v>0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>
        <v>343604</v>
      </c>
      <c r="U37" s="37"/>
      <c r="V37" s="37"/>
      <c r="W37" s="37">
        <f t="shared" si="4"/>
        <v>0</v>
      </c>
      <c r="X37" s="37">
        <f t="shared" si="5"/>
        <v>343604</v>
      </c>
    </row>
    <row r="38" spans="1:24" ht="19.5" customHeight="1" hidden="1">
      <c r="A38" s="120"/>
      <c r="B38" s="20" t="s">
        <v>4</v>
      </c>
      <c r="C38" s="37"/>
      <c r="D38" s="37"/>
      <c r="E38" s="67">
        <v>0</v>
      </c>
      <c r="F38" s="67">
        <v>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>
        <f t="shared" si="4"/>
        <v>0</v>
      </c>
      <c r="X38" s="37">
        <f t="shared" si="5"/>
        <v>0</v>
      </c>
    </row>
    <row r="39" spans="1:24" ht="19.5" customHeight="1" hidden="1">
      <c r="A39" s="122" t="s">
        <v>18</v>
      </c>
      <c r="B39" s="21"/>
      <c r="C39" s="40">
        <f aca="true" t="shared" si="6" ref="C39:J39">SUM(C29:C38)</f>
        <v>9382089</v>
      </c>
      <c r="D39" s="40">
        <f t="shared" si="6"/>
        <v>34295031</v>
      </c>
      <c r="E39" s="70">
        <f t="shared" si="6"/>
        <v>0</v>
      </c>
      <c r="F39" s="70">
        <f t="shared" si="6"/>
        <v>0</v>
      </c>
      <c r="G39" s="40">
        <f t="shared" si="6"/>
        <v>25116513</v>
      </c>
      <c r="H39" s="40">
        <f t="shared" si="6"/>
        <v>34197399</v>
      </c>
      <c r="I39" s="40">
        <f t="shared" si="6"/>
        <v>144387</v>
      </c>
      <c r="J39" s="40">
        <f t="shared" si="6"/>
        <v>18270705</v>
      </c>
      <c r="K39" s="40">
        <f aca="true" t="shared" si="7" ref="K39:V39">SUM(K29:K38)</f>
        <v>0</v>
      </c>
      <c r="L39" s="40">
        <f t="shared" si="7"/>
        <v>21905728</v>
      </c>
      <c r="M39" s="40">
        <f t="shared" si="7"/>
        <v>0</v>
      </c>
      <c r="N39" s="40">
        <f t="shared" si="7"/>
        <v>14307206</v>
      </c>
      <c r="O39" s="40">
        <f t="shared" si="7"/>
        <v>491137</v>
      </c>
      <c r="P39" s="40">
        <f t="shared" si="7"/>
        <v>26751291</v>
      </c>
      <c r="Q39" s="40">
        <f t="shared" si="7"/>
        <v>1814686.568406206</v>
      </c>
      <c r="R39" s="40">
        <f t="shared" si="7"/>
        <v>18009277.101100143</v>
      </c>
      <c r="S39" s="40">
        <f t="shared" si="7"/>
        <v>3442629</v>
      </c>
      <c r="T39" s="40">
        <f t="shared" si="7"/>
        <v>4885166</v>
      </c>
      <c r="U39" s="40">
        <f t="shared" si="7"/>
        <v>2276394</v>
      </c>
      <c r="V39" s="40">
        <f t="shared" si="7"/>
        <v>0</v>
      </c>
      <c r="W39" s="40">
        <f>C39+G39+I39+K39+O39+Q39+S39+U39+E39+M39</f>
        <v>42667835.56840621</v>
      </c>
      <c r="X39" s="40">
        <f>D39+H39+J39+L39+P39+R39+T39+V39+F39+N39</f>
        <v>172621803.10110015</v>
      </c>
    </row>
    <row r="40" spans="1:24" ht="19.5" customHeight="1" hidden="1" thickBot="1">
      <c r="A40" s="123"/>
      <c r="B40" s="14"/>
      <c r="C40" s="118">
        <f>C39+D39</f>
        <v>43677120</v>
      </c>
      <c r="D40" s="118"/>
      <c r="E40" s="118">
        <f>E39+F39</f>
        <v>0</v>
      </c>
      <c r="F40" s="118"/>
      <c r="G40" s="118">
        <f>G39+H39</f>
        <v>59313912</v>
      </c>
      <c r="H40" s="118"/>
      <c r="I40" s="118">
        <f>I39+J39</f>
        <v>18415092</v>
      </c>
      <c r="J40" s="118"/>
      <c r="K40" s="118">
        <f>K39+L39</f>
        <v>21905728</v>
      </c>
      <c r="L40" s="118"/>
      <c r="M40" s="118">
        <f>M39+N39</f>
        <v>14307206</v>
      </c>
      <c r="N40" s="118"/>
      <c r="O40" s="118">
        <f>O39+P39</f>
        <v>27242428</v>
      </c>
      <c r="P40" s="118"/>
      <c r="Q40" s="118">
        <f>Q39+R39</f>
        <v>19823963.66950635</v>
      </c>
      <c r="R40" s="118"/>
      <c r="S40" s="118">
        <f>S39+T39</f>
        <v>8327795</v>
      </c>
      <c r="T40" s="118"/>
      <c r="U40" s="119">
        <f>U39+V39</f>
        <v>2276394</v>
      </c>
      <c r="V40" s="119"/>
      <c r="W40" s="119">
        <f>W39+X39</f>
        <v>215289638.66950637</v>
      </c>
      <c r="X40" s="119"/>
    </row>
    <row r="41" spans="3:23" ht="19.5" customHeight="1" hidden="1">
      <c r="C41" s="25"/>
      <c r="V41" s="24"/>
      <c r="W41" s="26"/>
    </row>
    <row r="42" spans="1:24" ht="14.25" hidden="1">
      <c r="A42" s="98" t="s">
        <v>48</v>
      </c>
      <c r="B42" s="98"/>
      <c r="C42" s="98"/>
      <c r="D42" s="98"/>
      <c r="E42" s="98"/>
      <c r="F42" s="7"/>
      <c r="G42" s="7"/>
      <c r="H42" s="128" t="s">
        <v>49</v>
      </c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</row>
    <row r="43" spans="1:24" ht="14.25" hidden="1">
      <c r="A43" s="99" t="s">
        <v>20</v>
      </c>
      <c r="B43" s="99"/>
      <c r="C43" s="99"/>
      <c r="D43" s="99"/>
      <c r="E43" s="28"/>
      <c r="F43" s="43"/>
      <c r="G43" s="27"/>
      <c r="H43" s="128" t="s">
        <v>21</v>
      </c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</row>
    <row r="44" spans="1:8" ht="14.25" hidden="1">
      <c r="A44" s="9"/>
      <c r="B44" s="9"/>
      <c r="C44" s="42"/>
      <c r="D44" s="42"/>
      <c r="E44" s="42"/>
      <c r="F44" s="42"/>
      <c r="G44" s="42"/>
      <c r="H44" s="7"/>
    </row>
    <row r="45" spans="1:24" ht="14.25" hidden="1" thickBot="1">
      <c r="A45" s="100" t="s">
        <v>22</v>
      </c>
      <c r="B45" s="100"/>
      <c r="C45" s="100"/>
      <c r="D45" s="100"/>
      <c r="E45" s="100"/>
      <c r="F45" s="100"/>
      <c r="G45" s="100"/>
      <c r="H45" s="129" t="s">
        <v>23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1:24" ht="14.25" hidden="1">
      <c r="A46" s="130">
        <v>44469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2"/>
    </row>
    <row r="47" spans="1:24" ht="19.5" customHeight="1" hidden="1">
      <c r="A47" s="126" t="s">
        <v>6</v>
      </c>
      <c r="B47" s="126"/>
      <c r="C47" s="124" t="s">
        <v>5</v>
      </c>
      <c r="D47" s="124"/>
      <c r="E47" s="124" t="s">
        <v>24</v>
      </c>
      <c r="F47" s="124"/>
      <c r="G47" s="124" t="s">
        <v>10</v>
      </c>
      <c r="H47" s="124"/>
      <c r="I47" s="124" t="s">
        <v>11</v>
      </c>
      <c r="J47" s="124"/>
      <c r="K47" s="124" t="s">
        <v>12</v>
      </c>
      <c r="L47" s="124"/>
      <c r="M47" s="124" t="s">
        <v>41</v>
      </c>
      <c r="N47" s="124"/>
      <c r="O47" s="124" t="s">
        <v>13</v>
      </c>
      <c r="P47" s="124"/>
      <c r="Q47" s="124" t="s">
        <v>14</v>
      </c>
      <c r="R47" s="124"/>
      <c r="S47" s="124" t="s">
        <v>15</v>
      </c>
      <c r="T47" s="124"/>
      <c r="U47" s="124" t="s">
        <v>16</v>
      </c>
      <c r="V47" s="124"/>
      <c r="W47" s="124" t="s">
        <v>17</v>
      </c>
      <c r="X47" s="124"/>
    </row>
    <row r="48" spans="1:24" ht="19.5" customHeight="1" hidden="1" thickBot="1">
      <c r="A48" s="10"/>
      <c r="B48" s="10"/>
      <c r="C48" s="11" t="s">
        <v>1</v>
      </c>
      <c r="D48" s="11" t="s">
        <v>2</v>
      </c>
      <c r="E48" s="11" t="s">
        <v>1</v>
      </c>
      <c r="F48" s="11" t="s">
        <v>2</v>
      </c>
      <c r="G48" s="11" t="s">
        <v>1</v>
      </c>
      <c r="H48" s="11" t="s">
        <v>2</v>
      </c>
      <c r="I48" s="11" t="s">
        <v>1</v>
      </c>
      <c r="J48" s="11" t="s">
        <v>2</v>
      </c>
      <c r="K48" s="11" t="s">
        <v>1</v>
      </c>
      <c r="L48" s="11" t="s">
        <v>2</v>
      </c>
      <c r="M48" s="11" t="s">
        <v>1</v>
      </c>
      <c r="N48" s="11" t="s">
        <v>2</v>
      </c>
      <c r="O48" s="11" t="s">
        <v>1</v>
      </c>
      <c r="P48" s="11" t="s">
        <v>2</v>
      </c>
      <c r="Q48" s="11" t="s">
        <v>1</v>
      </c>
      <c r="R48" s="11" t="s">
        <v>2</v>
      </c>
      <c r="S48" s="11" t="s">
        <v>1</v>
      </c>
      <c r="T48" s="11" t="s">
        <v>2</v>
      </c>
      <c r="U48" s="11" t="s">
        <v>1</v>
      </c>
      <c r="V48" s="11" t="s">
        <v>2</v>
      </c>
      <c r="W48" s="11" t="s">
        <v>1</v>
      </c>
      <c r="X48" s="11" t="s">
        <v>2</v>
      </c>
    </row>
    <row r="49" spans="1:24" ht="19.5" customHeight="1" hidden="1">
      <c r="A49" s="125" t="s">
        <v>19</v>
      </c>
      <c r="B49" s="44" t="s">
        <v>3</v>
      </c>
      <c r="C49" s="37">
        <v>9444232</v>
      </c>
      <c r="D49" s="37">
        <v>14197567</v>
      </c>
      <c r="E49" s="37">
        <v>0</v>
      </c>
      <c r="F49" s="37">
        <v>0</v>
      </c>
      <c r="G49" s="37">
        <f>2511957-430790</f>
        <v>2081167</v>
      </c>
      <c r="H49" s="37">
        <f>430790+807725+1523929</f>
        <v>2762444</v>
      </c>
      <c r="I49" s="37">
        <v>0</v>
      </c>
      <c r="J49" s="37">
        <v>250000</v>
      </c>
      <c r="K49" s="37">
        <v>0</v>
      </c>
      <c r="L49" s="37">
        <v>306270</v>
      </c>
      <c r="M49" s="37">
        <v>0</v>
      </c>
      <c r="N49" s="37">
        <v>8699778</v>
      </c>
      <c r="O49" s="37">
        <f>470879</f>
        <v>470879</v>
      </c>
      <c r="P49" s="37">
        <f>2962479+456016</f>
        <v>3418495</v>
      </c>
      <c r="Q49" s="37">
        <f>1713798+70612</f>
        <v>1784410</v>
      </c>
      <c r="R49" s="37">
        <v>2883733</v>
      </c>
      <c r="S49" s="37">
        <v>0</v>
      </c>
      <c r="T49" s="37">
        <v>0</v>
      </c>
      <c r="U49" s="37">
        <v>2122062</v>
      </c>
      <c r="V49" s="37">
        <v>0</v>
      </c>
      <c r="W49" s="37">
        <f>C49+G49+I49+K49+O49+Q49+S49+U49+E49+M49</f>
        <v>15902750</v>
      </c>
      <c r="X49" s="37">
        <f>D49+H49+J49+L49+P49+R49+T49+V49+F49+N49</f>
        <v>32518287</v>
      </c>
    </row>
    <row r="50" spans="1:24" ht="19.5" customHeight="1" hidden="1">
      <c r="A50" s="120"/>
      <c r="B50" s="44" t="s">
        <v>4</v>
      </c>
      <c r="C50" s="37">
        <v>0</v>
      </c>
      <c r="D50" s="37">
        <v>0</v>
      </c>
      <c r="E50" s="37">
        <v>0</v>
      </c>
      <c r="F50" s="37">
        <v>0</v>
      </c>
      <c r="G50" s="37">
        <f>461266+1215760</f>
        <v>1677026</v>
      </c>
      <c r="H50" s="37">
        <f>6532577</f>
        <v>6532577</v>
      </c>
      <c r="I50" s="37">
        <f>1247942-206186</f>
        <v>1041756</v>
      </c>
      <c r="J50" s="37">
        <v>206186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208915</v>
      </c>
      <c r="Q50" s="37">
        <v>0</v>
      </c>
      <c r="R50" s="37">
        <v>2202677</v>
      </c>
      <c r="S50" s="37">
        <v>0</v>
      </c>
      <c r="T50" s="37">
        <v>0</v>
      </c>
      <c r="U50" s="37">
        <v>0</v>
      </c>
      <c r="V50" s="37">
        <v>0</v>
      </c>
      <c r="W50" s="37">
        <f aca="true" t="shared" si="8" ref="W50:W58">C50+G50+I50+K50+O50+Q50+S50+U50+E50+M50</f>
        <v>2718782</v>
      </c>
      <c r="X50" s="37">
        <f aca="true" t="shared" si="9" ref="X50:X59">D50+H50+J50+L50+P50+R50+T50+V50+F50+N50</f>
        <v>9150355</v>
      </c>
    </row>
    <row r="51" spans="1:24" ht="19.5" customHeight="1" hidden="1">
      <c r="A51" s="121" t="s">
        <v>0</v>
      </c>
      <c r="B51" s="2" t="s">
        <v>3</v>
      </c>
      <c r="C51" s="38">
        <v>0</v>
      </c>
      <c r="D51" s="38">
        <v>0</v>
      </c>
      <c r="E51" s="38">
        <v>0</v>
      </c>
      <c r="F51" s="38">
        <v>0</v>
      </c>
      <c r="G51" s="38">
        <v>21005307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3462226</v>
      </c>
      <c r="T51" s="38">
        <v>0</v>
      </c>
      <c r="U51" s="38">
        <v>0</v>
      </c>
      <c r="V51" s="38">
        <v>0</v>
      </c>
      <c r="W51" s="38">
        <f t="shared" si="8"/>
        <v>24467533</v>
      </c>
      <c r="X51" s="38">
        <f t="shared" si="9"/>
        <v>0</v>
      </c>
    </row>
    <row r="52" spans="1:24" ht="19.5" customHeight="1" hidden="1">
      <c r="A52" s="121"/>
      <c r="B52" s="3" t="s">
        <v>4</v>
      </c>
      <c r="C52" s="39">
        <v>0</v>
      </c>
      <c r="D52" s="39">
        <v>0</v>
      </c>
      <c r="E52" s="39">
        <v>0</v>
      </c>
      <c r="F52" s="39">
        <v>0</v>
      </c>
      <c r="G52" s="39">
        <v>2954004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f t="shared" si="8"/>
        <v>2954004</v>
      </c>
      <c r="X52" s="39">
        <f t="shared" si="9"/>
        <v>0</v>
      </c>
    </row>
    <row r="53" spans="1:24" ht="19.5" customHeight="1" hidden="1">
      <c r="A53" s="120" t="s">
        <v>7</v>
      </c>
      <c r="B53" s="44" t="s">
        <v>3</v>
      </c>
      <c r="C53" s="37">
        <v>0</v>
      </c>
      <c r="D53" s="37">
        <v>16673782</v>
      </c>
      <c r="E53" s="37">
        <v>0</v>
      </c>
      <c r="F53" s="37">
        <v>0</v>
      </c>
      <c r="G53" s="37">
        <v>0</v>
      </c>
      <c r="H53" s="37">
        <v>20760164</v>
      </c>
      <c r="I53" s="37">
        <v>0</v>
      </c>
      <c r="J53" s="37">
        <v>13517176</v>
      </c>
      <c r="K53" s="37">
        <v>0</v>
      </c>
      <c r="L53" s="37">
        <v>15070180</v>
      </c>
      <c r="M53" s="37">
        <v>0</v>
      </c>
      <c r="N53" s="37">
        <v>0</v>
      </c>
      <c r="O53" s="37">
        <v>0</v>
      </c>
      <c r="P53" s="37">
        <v>7907104</v>
      </c>
      <c r="Q53" s="37">
        <v>0</v>
      </c>
      <c r="R53" s="37">
        <v>12944537</v>
      </c>
      <c r="S53" s="37">
        <v>0</v>
      </c>
      <c r="T53" s="37">
        <v>0</v>
      </c>
      <c r="U53" s="37">
        <v>0</v>
      </c>
      <c r="V53" s="37">
        <v>0</v>
      </c>
      <c r="W53" s="37">
        <f t="shared" si="8"/>
        <v>0</v>
      </c>
      <c r="X53" s="37">
        <f t="shared" si="9"/>
        <v>86872943</v>
      </c>
    </row>
    <row r="54" spans="1:24" ht="19.5" customHeight="1" hidden="1">
      <c r="A54" s="120"/>
      <c r="B54" s="44" t="s">
        <v>4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3357241</v>
      </c>
      <c r="S54" s="37">
        <v>0</v>
      </c>
      <c r="T54" s="37">
        <v>0</v>
      </c>
      <c r="U54" s="37">
        <v>0</v>
      </c>
      <c r="V54" s="37">
        <v>0</v>
      </c>
      <c r="W54" s="37">
        <f t="shared" si="8"/>
        <v>0</v>
      </c>
      <c r="X54" s="37">
        <f t="shared" si="9"/>
        <v>3357241</v>
      </c>
    </row>
    <row r="55" spans="1:24" ht="19.5" customHeight="1" hidden="1">
      <c r="A55" s="121" t="s">
        <v>8</v>
      </c>
      <c r="B55" s="2" t="s">
        <v>3</v>
      </c>
      <c r="C55" s="39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2528195</v>
      </c>
      <c r="K55" s="38">
        <v>0</v>
      </c>
      <c r="L55" s="38">
        <v>1957800</v>
      </c>
      <c r="M55" s="38">
        <v>0</v>
      </c>
      <c r="N55" s="38">
        <v>2000000</v>
      </c>
      <c r="O55" s="38">
        <v>0</v>
      </c>
      <c r="P55" s="38">
        <v>3098087</v>
      </c>
      <c r="Q55" s="38">
        <v>0</v>
      </c>
      <c r="R55" s="38">
        <v>250000</v>
      </c>
      <c r="S55" s="38">
        <v>0</v>
      </c>
      <c r="T55" s="38">
        <v>525000</v>
      </c>
      <c r="U55" s="38">
        <v>0</v>
      </c>
      <c r="V55" s="38">
        <v>0</v>
      </c>
      <c r="W55" s="38">
        <f t="shared" si="8"/>
        <v>0</v>
      </c>
      <c r="X55" s="38">
        <f t="shared" si="9"/>
        <v>10359082</v>
      </c>
    </row>
    <row r="56" spans="1:26" ht="19.5" customHeight="1" hidden="1">
      <c r="A56" s="121"/>
      <c r="B56" s="3" t="s">
        <v>4</v>
      </c>
      <c r="C56" s="39">
        <v>0</v>
      </c>
      <c r="D56" s="39">
        <v>3531651</v>
      </c>
      <c r="E56" s="39">
        <v>0</v>
      </c>
      <c r="F56" s="39">
        <v>0</v>
      </c>
      <c r="G56" s="38">
        <v>0</v>
      </c>
      <c r="H56" s="38">
        <v>3679611</v>
      </c>
      <c r="I56" s="39">
        <v>0</v>
      </c>
      <c r="J56" s="39">
        <v>1461805</v>
      </c>
      <c r="K56" s="39">
        <v>0</v>
      </c>
      <c r="L56" s="39">
        <f>5159837+4615531-1957800</f>
        <v>7817568</v>
      </c>
      <c r="M56" s="39">
        <v>0</v>
      </c>
      <c r="N56" s="38">
        <v>2500000</v>
      </c>
      <c r="O56" s="39">
        <v>0</v>
      </c>
      <c r="P56" s="39">
        <f>15703635-3098087</f>
        <v>12605548</v>
      </c>
      <c r="Q56" s="39">
        <v>0</v>
      </c>
      <c r="R56" s="39">
        <v>2933587</v>
      </c>
      <c r="S56" s="39">
        <v>0</v>
      </c>
      <c r="T56" s="39">
        <v>4015505</v>
      </c>
      <c r="U56" s="39">
        <v>0</v>
      </c>
      <c r="V56" s="39">
        <v>0</v>
      </c>
      <c r="W56" s="39">
        <f t="shared" si="8"/>
        <v>0</v>
      </c>
      <c r="X56" s="39">
        <f t="shared" si="9"/>
        <v>38545275</v>
      </c>
      <c r="Y56" s="48"/>
      <c r="Z56" s="48"/>
    </row>
    <row r="57" spans="1:24" ht="19.5" customHeight="1" hidden="1">
      <c r="A57" s="120" t="s">
        <v>9</v>
      </c>
      <c r="B57" s="44" t="s">
        <v>3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329082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338090</v>
      </c>
      <c r="T57" s="37">
        <v>0</v>
      </c>
      <c r="U57" s="37">
        <v>0</v>
      </c>
      <c r="V57" s="37">
        <v>0</v>
      </c>
      <c r="W57" s="37">
        <f t="shared" si="8"/>
        <v>338090</v>
      </c>
      <c r="X57" s="37">
        <f t="shared" si="9"/>
        <v>329082</v>
      </c>
    </row>
    <row r="58" spans="1:24" ht="19.5" customHeight="1" hidden="1">
      <c r="A58" s="120"/>
      <c r="B58" s="44" t="s">
        <v>4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f t="shared" si="8"/>
        <v>0</v>
      </c>
      <c r="X58" s="37">
        <f>D58+H58+J58+L58+P58+R58+T58+V58+F58+N58</f>
        <v>0</v>
      </c>
    </row>
    <row r="59" spans="1:24" ht="19.5" customHeight="1" hidden="1">
      <c r="A59" s="122" t="s">
        <v>18</v>
      </c>
      <c r="B59" s="45"/>
      <c r="C59" s="40">
        <f aca="true" t="shared" si="10" ref="C59:J59">SUM(C49:C58)</f>
        <v>9444232</v>
      </c>
      <c r="D59" s="40">
        <f t="shared" si="10"/>
        <v>34403000</v>
      </c>
      <c r="E59" s="40">
        <f t="shared" si="10"/>
        <v>0</v>
      </c>
      <c r="F59" s="40">
        <f t="shared" si="10"/>
        <v>0</v>
      </c>
      <c r="G59" s="40">
        <f t="shared" si="10"/>
        <v>27717504</v>
      </c>
      <c r="H59" s="40">
        <f t="shared" si="10"/>
        <v>34063878</v>
      </c>
      <c r="I59" s="40">
        <f t="shared" si="10"/>
        <v>1041756</v>
      </c>
      <c r="J59" s="40">
        <f t="shared" si="10"/>
        <v>17963362</v>
      </c>
      <c r="K59" s="40">
        <f aca="true" t="shared" si="11" ref="K59:V59">SUM(K49:K58)</f>
        <v>0</v>
      </c>
      <c r="L59" s="40">
        <f t="shared" si="11"/>
        <v>25151818</v>
      </c>
      <c r="M59" s="40">
        <f t="shared" si="11"/>
        <v>0</v>
      </c>
      <c r="N59" s="40">
        <f t="shared" si="11"/>
        <v>13199778</v>
      </c>
      <c r="O59" s="40">
        <f t="shared" si="11"/>
        <v>470879</v>
      </c>
      <c r="P59" s="40">
        <f t="shared" si="11"/>
        <v>27238149</v>
      </c>
      <c r="Q59" s="40">
        <f t="shared" si="11"/>
        <v>1784410</v>
      </c>
      <c r="R59" s="40">
        <f t="shared" si="11"/>
        <v>24571775</v>
      </c>
      <c r="S59" s="40">
        <f t="shared" si="11"/>
        <v>3800316</v>
      </c>
      <c r="T59" s="40">
        <f t="shared" si="11"/>
        <v>4540505</v>
      </c>
      <c r="U59" s="40">
        <f t="shared" si="11"/>
        <v>2122062</v>
      </c>
      <c r="V59" s="40">
        <f t="shared" si="11"/>
        <v>0</v>
      </c>
      <c r="W59" s="40">
        <f>C59+G59+I59+K59+O59+Q59+S59+U59+E59+M59</f>
        <v>46381159</v>
      </c>
      <c r="X59" s="40">
        <f t="shared" si="9"/>
        <v>181132265</v>
      </c>
    </row>
    <row r="60" spans="1:24" ht="19.5" customHeight="1" hidden="1" thickBot="1">
      <c r="A60" s="123"/>
      <c r="B60" s="14"/>
      <c r="C60" s="118">
        <f>C59+D59</f>
        <v>43847232</v>
      </c>
      <c r="D60" s="118"/>
      <c r="E60" s="118">
        <f>E59+F59</f>
        <v>0</v>
      </c>
      <c r="F60" s="118"/>
      <c r="G60" s="118">
        <f>G59+H59</f>
        <v>61781382</v>
      </c>
      <c r="H60" s="118"/>
      <c r="I60" s="118">
        <f>I59+J59</f>
        <v>19005118</v>
      </c>
      <c r="J60" s="118"/>
      <c r="K60" s="118">
        <f>K59+L59</f>
        <v>25151818</v>
      </c>
      <c r="L60" s="118"/>
      <c r="M60" s="118">
        <f>M59+N59</f>
        <v>13199778</v>
      </c>
      <c r="N60" s="118"/>
      <c r="O60" s="118">
        <f>O59+P59</f>
        <v>27709028</v>
      </c>
      <c r="P60" s="118"/>
      <c r="Q60" s="118">
        <f>Q59+R59</f>
        <v>26356185</v>
      </c>
      <c r="R60" s="118"/>
      <c r="S60" s="118">
        <f>S59+T59</f>
        <v>8340821</v>
      </c>
      <c r="T60" s="118"/>
      <c r="U60" s="119">
        <f>U59+V59</f>
        <v>2122062</v>
      </c>
      <c r="V60" s="119"/>
      <c r="W60" s="119">
        <f>W59+X59</f>
        <v>227513424</v>
      </c>
      <c r="X60" s="119"/>
    </row>
    <row r="61" spans="15:18" ht="19.5" customHeight="1">
      <c r="O61" s="30"/>
      <c r="P61" s="31"/>
      <c r="Q61" s="31"/>
      <c r="R61" s="31"/>
    </row>
    <row r="62" spans="1:25" ht="19.5" customHeight="1">
      <c r="A62" s="98" t="s">
        <v>59</v>
      </c>
      <c r="B62" s="98"/>
      <c r="C62" s="98"/>
      <c r="D62" s="98"/>
      <c r="E62" s="98"/>
      <c r="F62" s="7"/>
      <c r="G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 t="s">
        <v>62</v>
      </c>
      <c r="Y62" s="7"/>
    </row>
    <row r="63" spans="1:25" ht="23.25" customHeight="1">
      <c r="A63" s="99" t="s">
        <v>20</v>
      </c>
      <c r="B63" s="99"/>
      <c r="C63" s="99"/>
      <c r="D63" s="99"/>
      <c r="E63" s="28"/>
      <c r="F63" s="53"/>
      <c r="G63" s="2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 t="s">
        <v>21</v>
      </c>
      <c r="Y63" s="7"/>
    </row>
    <row r="64" spans="1:20" ht="19.5" customHeight="1">
      <c r="A64" s="9"/>
      <c r="B64" s="9"/>
      <c r="C64" s="52"/>
      <c r="D64" s="52"/>
      <c r="E64" s="52"/>
      <c r="F64" s="52"/>
      <c r="G64" s="52"/>
      <c r="H64" s="7"/>
      <c r="P64" s="26"/>
      <c r="R64" s="48"/>
      <c r="T64" s="49"/>
    </row>
    <row r="65" spans="1:30" ht="19.5" customHeight="1" thickBot="1">
      <c r="A65" s="100" t="s">
        <v>55</v>
      </c>
      <c r="B65" s="100"/>
      <c r="C65" s="100"/>
      <c r="D65" s="100"/>
      <c r="E65" s="100"/>
      <c r="F65" s="100"/>
      <c r="G65" s="100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 t="s">
        <v>56</v>
      </c>
      <c r="Y65" s="7"/>
      <c r="Z65" s="7"/>
      <c r="AA65" s="7"/>
      <c r="AB65" s="7"/>
      <c r="AC65" s="7"/>
      <c r="AD65" s="7"/>
    </row>
    <row r="66" spans="1:30" ht="19.5" customHeight="1">
      <c r="A66" s="108" t="s">
        <v>57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58"/>
      <c r="Z66" s="23"/>
      <c r="AA66" s="23"/>
      <c r="AB66" s="23"/>
      <c r="AC66" s="23"/>
      <c r="AD66" s="23"/>
    </row>
    <row r="67" spans="1:25" ht="19.5" customHeight="1">
      <c r="A67" s="110" t="s">
        <v>6</v>
      </c>
      <c r="B67" s="110"/>
      <c r="C67" s="106" t="s">
        <v>5</v>
      </c>
      <c r="D67" s="106"/>
      <c r="E67" s="106" t="s">
        <v>24</v>
      </c>
      <c r="F67" s="106"/>
      <c r="G67" s="106" t="s">
        <v>10</v>
      </c>
      <c r="H67" s="106"/>
      <c r="I67" s="106" t="s">
        <v>11</v>
      </c>
      <c r="J67" s="106"/>
      <c r="K67" s="106" t="s">
        <v>12</v>
      </c>
      <c r="L67" s="106"/>
      <c r="M67" s="106" t="s">
        <v>41</v>
      </c>
      <c r="N67" s="106"/>
      <c r="O67" s="106" t="s">
        <v>13</v>
      </c>
      <c r="P67" s="106"/>
      <c r="Q67" s="106" t="s">
        <v>14</v>
      </c>
      <c r="R67" s="106"/>
      <c r="S67" s="106" t="s">
        <v>15</v>
      </c>
      <c r="T67" s="106"/>
      <c r="U67" s="106" t="s">
        <v>16</v>
      </c>
      <c r="V67" s="106"/>
      <c r="W67" s="106" t="s">
        <v>17</v>
      </c>
      <c r="X67" s="106"/>
      <c r="Y67" s="117"/>
    </row>
    <row r="68" spans="1:25" ht="19.5" customHeight="1" thickBot="1">
      <c r="A68" s="71"/>
      <c r="B68" s="71"/>
      <c r="C68" s="72" t="s">
        <v>2</v>
      </c>
      <c r="D68" s="72" t="s">
        <v>1</v>
      </c>
      <c r="E68" s="72" t="s">
        <v>2</v>
      </c>
      <c r="F68" s="72" t="s">
        <v>1</v>
      </c>
      <c r="G68" s="72" t="s">
        <v>2</v>
      </c>
      <c r="H68" s="72" t="s">
        <v>1</v>
      </c>
      <c r="I68" s="72" t="s">
        <v>2</v>
      </c>
      <c r="J68" s="72" t="s">
        <v>1</v>
      </c>
      <c r="K68" s="72" t="s">
        <v>2</v>
      </c>
      <c r="L68" s="72" t="s">
        <v>1</v>
      </c>
      <c r="M68" s="72" t="s">
        <v>2</v>
      </c>
      <c r="N68" s="72" t="s">
        <v>1</v>
      </c>
      <c r="O68" s="72" t="s">
        <v>2</v>
      </c>
      <c r="P68" s="72" t="s">
        <v>1</v>
      </c>
      <c r="Q68" s="72" t="s">
        <v>2</v>
      </c>
      <c r="R68" s="72" t="s">
        <v>1</v>
      </c>
      <c r="S68" s="72" t="s">
        <v>2</v>
      </c>
      <c r="T68" s="72" t="s">
        <v>1</v>
      </c>
      <c r="U68" s="72" t="s">
        <v>2</v>
      </c>
      <c r="V68" s="72" t="s">
        <v>1</v>
      </c>
      <c r="W68" s="72" t="s">
        <v>2</v>
      </c>
      <c r="X68" s="72" t="s">
        <v>1</v>
      </c>
      <c r="Y68" s="117"/>
    </row>
    <row r="69" spans="1:25" ht="19.5" customHeight="1">
      <c r="A69" s="107" t="s">
        <v>19</v>
      </c>
      <c r="B69" s="73" t="s">
        <v>3</v>
      </c>
      <c r="C69" s="74">
        <v>14301479</v>
      </c>
      <c r="D69" s="74">
        <v>8551559</v>
      </c>
      <c r="E69" s="74">
        <v>12099786</v>
      </c>
      <c r="F69" s="74">
        <v>0</v>
      </c>
      <c r="G69" s="74">
        <v>2289084</v>
      </c>
      <c r="H69" s="74">
        <v>2206597</v>
      </c>
      <c r="I69" s="74">
        <v>0</v>
      </c>
      <c r="J69" s="74">
        <v>250000</v>
      </c>
      <c r="K69" s="74">
        <v>311131</v>
      </c>
      <c r="L69" s="74">
        <v>0</v>
      </c>
      <c r="M69" s="74">
        <v>10256525</v>
      </c>
      <c r="N69" s="74">
        <v>0</v>
      </c>
      <c r="O69" s="74">
        <v>3734385</v>
      </c>
      <c r="P69" s="74">
        <v>1049160</v>
      </c>
      <c r="Q69" s="74">
        <v>2959012</v>
      </c>
      <c r="R69" s="74">
        <v>1706934</v>
      </c>
      <c r="S69" s="74">
        <v>0</v>
      </c>
      <c r="T69" s="74">
        <v>0</v>
      </c>
      <c r="U69" s="74">
        <v>0</v>
      </c>
      <c r="V69" s="74">
        <v>2096340</v>
      </c>
      <c r="W69" s="74">
        <f>C69+G69+I69+K69+O69+Q69+S69+U69+E69+M69</f>
        <v>45951402</v>
      </c>
      <c r="X69" s="75">
        <f aca="true" t="shared" si="12" ref="X69:X79">D69+H69+J69+L69+P69+R69+T69+V69+F69+N69</f>
        <v>15860590</v>
      </c>
      <c r="Y69" s="117"/>
    </row>
    <row r="70" spans="1:25" ht="19.5" customHeight="1">
      <c r="A70" s="102"/>
      <c r="B70" s="76" t="s">
        <v>4</v>
      </c>
      <c r="C70" s="77">
        <v>0</v>
      </c>
      <c r="D70" s="77">
        <v>0</v>
      </c>
      <c r="E70" s="77">
        <v>0</v>
      </c>
      <c r="F70" s="77">
        <v>0</v>
      </c>
      <c r="G70" s="77">
        <v>11258256</v>
      </c>
      <c r="H70" s="77">
        <v>493249</v>
      </c>
      <c r="I70" s="77">
        <v>1241621</v>
      </c>
      <c r="J70" s="77">
        <v>78556</v>
      </c>
      <c r="K70" s="77">
        <v>0</v>
      </c>
      <c r="L70" s="77">
        <v>0</v>
      </c>
      <c r="M70" s="77">
        <v>0</v>
      </c>
      <c r="N70" s="77">
        <v>0</v>
      </c>
      <c r="O70" s="77">
        <v>196626</v>
      </c>
      <c r="P70" s="77">
        <v>0</v>
      </c>
      <c r="Q70" s="77">
        <v>2537868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f aca="true" t="shared" si="13" ref="W70:W79">C70+G70+I70+K70+O70+Q70+S70+U70+E70+M70</f>
        <v>15234371</v>
      </c>
      <c r="X70" s="78">
        <f t="shared" si="12"/>
        <v>571805</v>
      </c>
      <c r="Y70" s="117"/>
    </row>
    <row r="71" spans="1:25" ht="19.5" customHeight="1">
      <c r="A71" s="101" t="s">
        <v>0</v>
      </c>
      <c r="B71" s="79" t="s">
        <v>3</v>
      </c>
      <c r="C71" s="80">
        <v>0</v>
      </c>
      <c r="D71" s="80">
        <v>0</v>
      </c>
      <c r="E71" s="80">
        <v>0</v>
      </c>
      <c r="F71" s="80">
        <v>0</v>
      </c>
      <c r="G71" s="80">
        <v>500000</v>
      </c>
      <c r="H71" s="80">
        <v>19096214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0</v>
      </c>
      <c r="P71" s="80">
        <v>0</v>
      </c>
      <c r="Q71" s="80">
        <v>0</v>
      </c>
      <c r="R71" s="80">
        <v>70612</v>
      </c>
      <c r="S71" s="80">
        <v>0</v>
      </c>
      <c r="T71" s="80">
        <v>1660508</v>
      </c>
      <c r="U71" s="80">
        <v>0</v>
      </c>
      <c r="V71" s="80">
        <v>0</v>
      </c>
      <c r="W71" s="80">
        <f t="shared" si="13"/>
        <v>500000</v>
      </c>
      <c r="X71" s="81">
        <f t="shared" si="12"/>
        <v>20827334</v>
      </c>
      <c r="Y71" s="117"/>
    </row>
    <row r="72" spans="1:25" ht="19.5" customHeight="1">
      <c r="A72" s="101"/>
      <c r="B72" s="79" t="s">
        <v>4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1215883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f t="shared" si="13"/>
        <v>0</v>
      </c>
      <c r="X72" s="81">
        <f t="shared" si="12"/>
        <v>1215883</v>
      </c>
      <c r="Y72" s="117"/>
    </row>
    <row r="73" spans="1:25" ht="19.5" customHeight="1">
      <c r="A73" s="102" t="s">
        <v>8</v>
      </c>
      <c r="B73" s="76" t="s">
        <v>3</v>
      </c>
      <c r="C73" s="77">
        <v>6445102.359999999</v>
      </c>
      <c r="D73" s="77">
        <v>0</v>
      </c>
      <c r="E73" s="77">
        <v>0</v>
      </c>
      <c r="F73" s="77">
        <v>0</v>
      </c>
      <c r="G73" s="77">
        <v>3912168</v>
      </c>
      <c r="H73" s="77">
        <v>0</v>
      </c>
      <c r="I73" s="77">
        <v>2751249</v>
      </c>
      <c r="J73" s="77">
        <v>0</v>
      </c>
      <c r="K73" s="77">
        <v>1957800</v>
      </c>
      <c r="L73" s="77">
        <v>0</v>
      </c>
      <c r="M73" s="77">
        <v>2000000</v>
      </c>
      <c r="N73" s="77">
        <v>0</v>
      </c>
      <c r="O73" s="77">
        <v>3324226</v>
      </c>
      <c r="P73" s="77">
        <v>0</v>
      </c>
      <c r="Q73" s="77">
        <v>2250000</v>
      </c>
      <c r="R73" s="77">
        <v>0</v>
      </c>
      <c r="S73" s="77">
        <v>500000</v>
      </c>
      <c r="T73" s="77">
        <v>0</v>
      </c>
      <c r="U73" s="77">
        <v>1275170</v>
      </c>
      <c r="V73" s="77">
        <v>0</v>
      </c>
      <c r="W73" s="77">
        <f t="shared" si="13"/>
        <v>24415715.36</v>
      </c>
      <c r="X73" s="78">
        <f t="shared" si="12"/>
        <v>0</v>
      </c>
      <c r="Y73" s="117"/>
    </row>
    <row r="74" spans="1:25" ht="19.5" customHeight="1">
      <c r="A74" s="102"/>
      <c r="B74" s="76" t="s">
        <v>4</v>
      </c>
      <c r="C74" s="77">
        <v>6879152.640000001</v>
      </c>
      <c r="D74" s="77">
        <v>0</v>
      </c>
      <c r="E74" s="77">
        <v>5896556</v>
      </c>
      <c r="F74" s="77">
        <v>0</v>
      </c>
      <c r="G74" s="77">
        <v>6872586</v>
      </c>
      <c r="H74" s="77">
        <v>1916211</v>
      </c>
      <c r="I74" s="77">
        <v>1461805</v>
      </c>
      <c r="J74" s="77">
        <v>0</v>
      </c>
      <c r="K74" s="77">
        <v>8189104</v>
      </c>
      <c r="L74" s="77">
        <v>0</v>
      </c>
      <c r="M74" s="77">
        <v>3000000</v>
      </c>
      <c r="N74" s="77">
        <v>0</v>
      </c>
      <c r="O74" s="77">
        <v>14313635</v>
      </c>
      <c r="P74" s="77">
        <v>0</v>
      </c>
      <c r="Q74" s="77">
        <v>1299947</v>
      </c>
      <c r="R74" s="77">
        <v>0</v>
      </c>
      <c r="S74" s="77">
        <v>4059781</v>
      </c>
      <c r="T74" s="77">
        <v>0</v>
      </c>
      <c r="U74" s="77">
        <v>0</v>
      </c>
      <c r="V74" s="77">
        <v>0</v>
      </c>
      <c r="W74" s="77">
        <f t="shared" si="13"/>
        <v>51972566.64</v>
      </c>
      <c r="X74" s="78">
        <f>D74+H74+J74+L74+P74+R74+T74+V74+F74+N74</f>
        <v>1916211</v>
      </c>
      <c r="Y74" s="117"/>
    </row>
    <row r="75" spans="1:25" ht="19.5" customHeight="1">
      <c r="A75" s="101" t="s">
        <v>50</v>
      </c>
      <c r="B75" s="79" t="s">
        <v>3</v>
      </c>
      <c r="C75" s="80">
        <v>16961570</v>
      </c>
      <c r="D75" s="80">
        <v>0</v>
      </c>
      <c r="E75" s="80">
        <v>688881</v>
      </c>
      <c r="F75" s="80">
        <v>1969871</v>
      </c>
      <c r="G75" s="80">
        <v>22530459</v>
      </c>
      <c r="H75" s="80">
        <v>0</v>
      </c>
      <c r="I75" s="80">
        <v>16467098</v>
      </c>
      <c r="J75" s="80">
        <v>0</v>
      </c>
      <c r="K75" s="80">
        <v>14533295</v>
      </c>
      <c r="L75" s="80">
        <v>0</v>
      </c>
      <c r="M75" s="80">
        <v>310200</v>
      </c>
      <c r="N75" s="80">
        <v>0</v>
      </c>
      <c r="O75" s="80">
        <v>7907104</v>
      </c>
      <c r="P75" s="80">
        <v>0</v>
      </c>
      <c r="Q75" s="80">
        <v>12795905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2">
        <f t="shared" si="13"/>
        <v>92194512</v>
      </c>
      <c r="X75" s="82">
        <f t="shared" si="12"/>
        <v>1969871</v>
      </c>
      <c r="Y75" s="117"/>
    </row>
    <row r="76" spans="1:25" ht="19.5" customHeight="1">
      <c r="A76" s="101"/>
      <c r="B76" s="79" t="s">
        <v>4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0</v>
      </c>
      <c r="M76" s="80">
        <v>1426785</v>
      </c>
      <c r="N76" s="80">
        <v>0</v>
      </c>
      <c r="O76" s="80">
        <v>0</v>
      </c>
      <c r="P76" s="80">
        <v>0</v>
      </c>
      <c r="Q76" s="80">
        <v>2328985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2">
        <f t="shared" si="13"/>
        <v>3755770</v>
      </c>
      <c r="X76" s="83">
        <f t="shared" si="12"/>
        <v>0</v>
      </c>
      <c r="Y76" s="117"/>
    </row>
    <row r="77" spans="1:25" ht="19.5" customHeight="1">
      <c r="A77" s="102" t="s">
        <v>9</v>
      </c>
      <c r="B77" s="76" t="s">
        <v>3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315310</v>
      </c>
      <c r="T77" s="77">
        <v>0</v>
      </c>
      <c r="U77" s="77">
        <v>0</v>
      </c>
      <c r="V77" s="77">
        <v>0</v>
      </c>
      <c r="W77" s="77">
        <f t="shared" si="13"/>
        <v>315310</v>
      </c>
      <c r="X77" s="78">
        <f t="shared" si="12"/>
        <v>0</v>
      </c>
      <c r="Y77" s="117"/>
    </row>
    <row r="78" spans="1:25" ht="19.5" customHeight="1" thickBot="1">
      <c r="A78" s="103"/>
      <c r="B78" s="84" t="s">
        <v>4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f t="shared" si="13"/>
        <v>0</v>
      </c>
      <c r="X78" s="86">
        <f t="shared" si="12"/>
        <v>0</v>
      </c>
      <c r="Y78" s="117"/>
    </row>
    <row r="79" spans="1:25" ht="19.5" customHeight="1">
      <c r="A79" s="104" t="s">
        <v>18</v>
      </c>
      <c r="B79" s="87"/>
      <c r="C79" s="83">
        <f aca="true" t="shared" si="14" ref="C79:V79">C69+C70+C71+C72+C73+C74+C75+C76+C77+C78</f>
        <v>44587304</v>
      </c>
      <c r="D79" s="83">
        <f t="shared" si="14"/>
        <v>8551559</v>
      </c>
      <c r="E79" s="83">
        <f t="shared" si="14"/>
        <v>18685223</v>
      </c>
      <c r="F79" s="83">
        <f t="shared" si="14"/>
        <v>1969871</v>
      </c>
      <c r="G79" s="83">
        <f t="shared" si="14"/>
        <v>47362553</v>
      </c>
      <c r="H79" s="83">
        <f t="shared" si="14"/>
        <v>24928154</v>
      </c>
      <c r="I79" s="83">
        <f t="shared" si="14"/>
        <v>21921773</v>
      </c>
      <c r="J79" s="83">
        <f t="shared" si="14"/>
        <v>328556</v>
      </c>
      <c r="K79" s="83">
        <f t="shared" si="14"/>
        <v>24991330</v>
      </c>
      <c r="L79" s="83">
        <f t="shared" si="14"/>
        <v>0</v>
      </c>
      <c r="M79" s="83">
        <f t="shared" si="14"/>
        <v>16993510</v>
      </c>
      <c r="N79" s="83">
        <f t="shared" si="14"/>
        <v>0</v>
      </c>
      <c r="O79" s="83">
        <f t="shared" si="14"/>
        <v>29475976</v>
      </c>
      <c r="P79" s="83">
        <f t="shared" si="14"/>
        <v>1049160</v>
      </c>
      <c r="Q79" s="83">
        <f t="shared" si="14"/>
        <v>24171717</v>
      </c>
      <c r="R79" s="83">
        <f t="shared" si="14"/>
        <v>1777546</v>
      </c>
      <c r="S79" s="83">
        <f t="shared" si="14"/>
        <v>4875091</v>
      </c>
      <c r="T79" s="83">
        <f t="shared" si="14"/>
        <v>1660508</v>
      </c>
      <c r="U79" s="83">
        <f t="shared" si="14"/>
        <v>1275170</v>
      </c>
      <c r="V79" s="83">
        <f t="shared" si="14"/>
        <v>2096340</v>
      </c>
      <c r="W79" s="83">
        <f t="shared" si="13"/>
        <v>234339647</v>
      </c>
      <c r="X79" s="83">
        <f t="shared" si="12"/>
        <v>42361694</v>
      </c>
      <c r="Y79" s="117"/>
    </row>
    <row r="80" spans="1:25" ht="19.5" customHeight="1" thickBot="1">
      <c r="A80" s="105"/>
      <c r="B80" s="88"/>
      <c r="C80" s="96">
        <f>C79+D79</f>
        <v>53138863</v>
      </c>
      <c r="D80" s="96"/>
      <c r="E80" s="96">
        <f>E79+F79</f>
        <v>20655094</v>
      </c>
      <c r="F80" s="96"/>
      <c r="G80" s="96">
        <f>G79+H79</f>
        <v>72290707</v>
      </c>
      <c r="H80" s="96"/>
      <c r="I80" s="96">
        <f>I79+J79</f>
        <v>22250329</v>
      </c>
      <c r="J80" s="96"/>
      <c r="K80" s="96">
        <f>K79+L79</f>
        <v>24991330</v>
      </c>
      <c r="L80" s="96"/>
      <c r="M80" s="96">
        <f>M79+N79</f>
        <v>16993510</v>
      </c>
      <c r="N80" s="96"/>
      <c r="O80" s="96">
        <f>O79+P79</f>
        <v>30525136</v>
      </c>
      <c r="P80" s="96"/>
      <c r="Q80" s="96">
        <f>Q79+R79</f>
        <v>25949263</v>
      </c>
      <c r="R80" s="96"/>
      <c r="S80" s="96">
        <f>S79+T79</f>
        <v>6535599</v>
      </c>
      <c r="T80" s="96"/>
      <c r="U80" s="97">
        <f>U79+V79</f>
        <v>3371510</v>
      </c>
      <c r="V80" s="97"/>
      <c r="W80" s="97">
        <f>W79+X79</f>
        <v>276701341</v>
      </c>
      <c r="X80" s="97"/>
      <c r="Y80" s="117"/>
    </row>
    <row r="81" spans="1:25" ht="19.5" customHeight="1">
      <c r="A81" s="90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5"/>
      <c r="V81" s="95"/>
      <c r="W81" s="95"/>
      <c r="X81" s="95"/>
      <c r="Y81" s="89"/>
    </row>
    <row r="82" spans="1:25" ht="19.5" customHeight="1">
      <c r="A82" s="98" t="s">
        <v>60</v>
      </c>
      <c r="B82" s="98"/>
      <c r="C82" s="98"/>
      <c r="D82" s="98"/>
      <c r="E82" s="98"/>
      <c r="F82" s="7"/>
      <c r="G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 t="s">
        <v>61</v>
      </c>
      <c r="Y82" s="89"/>
    </row>
    <row r="83" spans="1:25" ht="19.5" customHeight="1">
      <c r="A83" s="99" t="s">
        <v>20</v>
      </c>
      <c r="B83" s="99"/>
      <c r="C83" s="99"/>
      <c r="D83" s="99"/>
      <c r="E83" s="28"/>
      <c r="F83" s="91"/>
      <c r="G83" s="2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 t="s">
        <v>21</v>
      </c>
      <c r="Y83" s="89">
        <f>W80-'[1]Sheet1'!$C$26</f>
        <v>0</v>
      </c>
    </row>
    <row r="84" spans="1:25" ht="19.5" customHeight="1">
      <c r="A84" s="9"/>
      <c r="B84" s="9"/>
      <c r="C84" s="92"/>
      <c r="D84" s="92"/>
      <c r="E84" s="92"/>
      <c r="F84" s="92"/>
      <c r="G84" s="92"/>
      <c r="H84" s="7"/>
      <c r="P84" s="26"/>
      <c r="R84" s="48"/>
      <c r="T84" s="49"/>
      <c r="Y84" s="89"/>
    </row>
    <row r="85" spans="1:25" ht="19.5" customHeight="1" thickBot="1">
      <c r="A85" s="100" t="s">
        <v>55</v>
      </c>
      <c r="B85" s="100"/>
      <c r="C85" s="100"/>
      <c r="D85" s="100"/>
      <c r="E85" s="100"/>
      <c r="F85" s="100"/>
      <c r="G85" s="100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 t="s">
        <v>56</v>
      </c>
      <c r="Y85" s="89"/>
    </row>
    <row r="86" spans="1:25" ht="19.5" customHeight="1">
      <c r="A86" s="108" t="s">
        <v>58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89"/>
    </row>
    <row r="87" spans="1:25" ht="19.5" customHeight="1">
      <c r="A87" s="110" t="s">
        <v>6</v>
      </c>
      <c r="B87" s="110"/>
      <c r="C87" s="106" t="s">
        <v>5</v>
      </c>
      <c r="D87" s="106"/>
      <c r="E87" s="106" t="s">
        <v>24</v>
      </c>
      <c r="F87" s="106"/>
      <c r="G87" s="106" t="s">
        <v>10</v>
      </c>
      <c r="H87" s="106"/>
      <c r="I87" s="106" t="s">
        <v>11</v>
      </c>
      <c r="J87" s="106"/>
      <c r="K87" s="106" t="s">
        <v>12</v>
      </c>
      <c r="L87" s="106"/>
      <c r="M87" s="106" t="s">
        <v>41</v>
      </c>
      <c r="N87" s="106"/>
      <c r="O87" s="106" t="s">
        <v>13</v>
      </c>
      <c r="P87" s="106"/>
      <c r="Q87" s="106" t="s">
        <v>14</v>
      </c>
      <c r="R87" s="106"/>
      <c r="S87" s="106" t="s">
        <v>15</v>
      </c>
      <c r="T87" s="106"/>
      <c r="U87" s="106" t="s">
        <v>16</v>
      </c>
      <c r="V87" s="106"/>
      <c r="W87" s="106" t="s">
        <v>17</v>
      </c>
      <c r="X87" s="106"/>
      <c r="Y87" s="89"/>
    </row>
    <row r="88" spans="1:25" ht="19.5" customHeight="1" thickBot="1">
      <c r="A88" s="71"/>
      <c r="B88" s="71"/>
      <c r="C88" s="72" t="s">
        <v>2</v>
      </c>
      <c r="D88" s="72" t="s">
        <v>1</v>
      </c>
      <c r="E88" s="72" t="s">
        <v>2</v>
      </c>
      <c r="F88" s="72" t="s">
        <v>1</v>
      </c>
      <c r="G88" s="72" t="s">
        <v>2</v>
      </c>
      <c r="H88" s="72" t="s">
        <v>1</v>
      </c>
      <c r="I88" s="72" t="s">
        <v>2</v>
      </c>
      <c r="J88" s="72" t="s">
        <v>1</v>
      </c>
      <c r="K88" s="72" t="s">
        <v>2</v>
      </c>
      <c r="L88" s="72" t="s">
        <v>1</v>
      </c>
      <c r="M88" s="72" t="s">
        <v>2</v>
      </c>
      <c r="N88" s="72" t="s">
        <v>1</v>
      </c>
      <c r="O88" s="72" t="s">
        <v>2</v>
      </c>
      <c r="P88" s="72" t="s">
        <v>1</v>
      </c>
      <c r="Q88" s="72" t="s">
        <v>2</v>
      </c>
      <c r="R88" s="72" t="s">
        <v>1</v>
      </c>
      <c r="S88" s="72" t="s">
        <v>2</v>
      </c>
      <c r="T88" s="72" t="s">
        <v>1</v>
      </c>
      <c r="U88" s="72" t="s">
        <v>2</v>
      </c>
      <c r="V88" s="72" t="s">
        <v>1</v>
      </c>
      <c r="W88" s="72" t="s">
        <v>2</v>
      </c>
      <c r="X88" s="72" t="s">
        <v>1</v>
      </c>
      <c r="Y88" s="89"/>
    </row>
    <row r="89" spans="1:25" ht="19.5" customHeight="1">
      <c r="A89" s="107" t="s">
        <v>19</v>
      </c>
      <c r="B89" s="73" t="s">
        <v>3</v>
      </c>
      <c r="C89" s="74">
        <v>14367344</v>
      </c>
      <c r="D89" s="74">
        <v>8828220</v>
      </c>
      <c r="E89" s="74">
        <v>12099987</v>
      </c>
      <c r="F89" s="74">
        <v>0</v>
      </c>
      <c r="G89" s="74">
        <v>2315836</v>
      </c>
      <c r="H89" s="74">
        <v>2127863</v>
      </c>
      <c r="I89" s="74">
        <v>0</v>
      </c>
      <c r="J89" s="74">
        <v>250000</v>
      </c>
      <c r="K89" s="74">
        <v>343880</v>
      </c>
      <c r="L89" s="74">
        <v>0</v>
      </c>
      <c r="M89" s="74">
        <v>10990921</v>
      </c>
      <c r="N89" s="74">
        <v>0</v>
      </c>
      <c r="O89" s="74">
        <v>987537</v>
      </c>
      <c r="P89" s="74">
        <v>2005372</v>
      </c>
      <c r="Q89" s="74">
        <v>2717000</v>
      </c>
      <c r="R89" s="74">
        <v>1572909.3497884343</v>
      </c>
      <c r="S89" s="74">
        <v>0</v>
      </c>
      <c r="T89" s="74">
        <v>0</v>
      </c>
      <c r="U89" s="74">
        <v>0</v>
      </c>
      <c r="V89" s="74">
        <v>2079193</v>
      </c>
      <c r="W89" s="74">
        <f>C89+G89+I89+K89+O89+Q89+S89+U89+E89+M89</f>
        <v>43822505</v>
      </c>
      <c r="X89" s="75">
        <f>D89+H89+J89+L89+P89+R89+T89+V89+F89+N89</f>
        <v>16863557.349788435</v>
      </c>
      <c r="Y89" s="89"/>
    </row>
    <row r="90" spans="1:25" ht="19.5" customHeight="1">
      <c r="A90" s="102"/>
      <c r="B90" s="76" t="s">
        <v>4</v>
      </c>
      <c r="C90" s="77">
        <v>0</v>
      </c>
      <c r="D90" s="77">
        <v>0</v>
      </c>
      <c r="E90" s="77">
        <v>0</v>
      </c>
      <c r="F90" s="77">
        <v>0</v>
      </c>
      <c r="G90" s="77">
        <v>12250747</v>
      </c>
      <c r="H90" s="77">
        <v>105455</v>
      </c>
      <c r="I90" s="77">
        <v>1274684</v>
      </c>
      <c r="J90" s="77">
        <v>214525</v>
      </c>
      <c r="K90" s="77">
        <v>0</v>
      </c>
      <c r="L90" s="77">
        <v>0</v>
      </c>
      <c r="M90" s="77">
        <v>0</v>
      </c>
      <c r="N90" s="77">
        <v>0</v>
      </c>
      <c r="O90" s="77">
        <v>254561</v>
      </c>
      <c r="P90" s="77">
        <v>0</v>
      </c>
      <c r="Q90" s="77">
        <v>2955222</v>
      </c>
      <c r="R90" s="77">
        <v>123039.7743300423</v>
      </c>
      <c r="S90" s="77">
        <v>0</v>
      </c>
      <c r="T90" s="77">
        <v>0</v>
      </c>
      <c r="U90" s="77">
        <v>0</v>
      </c>
      <c r="V90" s="77">
        <v>0</v>
      </c>
      <c r="W90" s="77">
        <f aca="true" t="shared" si="15" ref="W90:W99">C90+G90+I90+K90+O90+Q90+S90+U90+E90+M90</f>
        <v>16735214</v>
      </c>
      <c r="X90" s="78">
        <f aca="true" t="shared" si="16" ref="X90:X99">D90+H90+J90+L90+P90+R90+T90+V90+F90+N90</f>
        <v>443019.7743300423</v>
      </c>
      <c r="Y90" s="89"/>
    </row>
    <row r="91" spans="1:26" ht="19.5" customHeight="1">
      <c r="A91" s="101" t="s">
        <v>0</v>
      </c>
      <c r="B91" s="79" t="s">
        <v>3</v>
      </c>
      <c r="C91" s="80">
        <v>0</v>
      </c>
      <c r="D91" s="80">
        <v>0</v>
      </c>
      <c r="E91" s="80">
        <v>0</v>
      </c>
      <c r="F91" s="80">
        <v>0</v>
      </c>
      <c r="G91" s="80">
        <v>500000</v>
      </c>
      <c r="H91" s="80">
        <v>16423082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  <c r="N91" s="80">
        <v>0</v>
      </c>
      <c r="O91" s="80">
        <v>0</v>
      </c>
      <c r="P91" s="80">
        <v>0</v>
      </c>
      <c r="Q91" s="80">
        <v>0</v>
      </c>
      <c r="R91" s="80">
        <v>70612</v>
      </c>
      <c r="S91" s="80">
        <v>0</v>
      </c>
      <c r="T91" s="80">
        <v>1655251</v>
      </c>
      <c r="U91" s="80">
        <v>0</v>
      </c>
      <c r="V91" s="80">
        <v>0</v>
      </c>
      <c r="W91" s="80">
        <f t="shared" si="15"/>
        <v>500000</v>
      </c>
      <c r="X91" s="81">
        <f t="shared" si="16"/>
        <v>18148945</v>
      </c>
      <c r="Y91" s="89"/>
      <c r="Z91" s="48"/>
    </row>
    <row r="92" spans="1:25" ht="19.5" customHeight="1">
      <c r="A92" s="101"/>
      <c r="B92" s="79" t="s">
        <v>4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1172611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80">
        <v>0</v>
      </c>
      <c r="W92" s="80">
        <f t="shared" si="15"/>
        <v>0</v>
      </c>
      <c r="X92" s="81">
        <f t="shared" si="16"/>
        <v>1172611</v>
      </c>
      <c r="Y92" s="89"/>
    </row>
    <row r="93" spans="1:25" ht="19.5" customHeight="1">
      <c r="A93" s="102" t="s">
        <v>8</v>
      </c>
      <c r="B93" s="76" t="s">
        <v>3</v>
      </c>
      <c r="C93" s="77">
        <v>7228409</v>
      </c>
      <c r="D93" s="77">
        <v>0</v>
      </c>
      <c r="E93" s="77">
        <v>0</v>
      </c>
      <c r="F93" s="77">
        <v>0</v>
      </c>
      <c r="G93" s="77">
        <v>3883136</v>
      </c>
      <c r="H93" s="77">
        <v>0</v>
      </c>
      <c r="I93" s="77">
        <v>2751249</v>
      </c>
      <c r="J93" s="77">
        <v>0</v>
      </c>
      <c r="K93" s="77">
        <v>2955305</v>
      </c>
      <c r="L93" s="77">
        <v>0</v>
      </c>
      <c r="M93" s="77">
        <v>2000000</v>
      </c>
      <c r="N93" s="77">
        <v>0</v>
      </c>
      <c r="O93" s="77">
        <v>3230424</v>
      </c>
      <c r="P93" s="77">
        <v>0</v>
      </c>
      <c r="Q93" s="77">
        <v>2250000</v>
      </c>
      <c r="R93" s="77">
        <v>0</v>
      </c>
      <c r="S93" s="77">
        <v>551750</v>
      </c>
      <c r="T93" s="77">
        <v>0</v>
      </c>
      <c r="U93" s="77">
        <v>276954</v>
      </c>
      <c r="V93" s="77">
        <v>0</v>
      </c>
      <c r="W93" s="77">
        <f t="shared" si="15"/>
        <v>25127227</v>
      </c>
      <c r="X93" s="78">
        <f t="shared" si="16"/>
        <v>0</v>
      </c>
      <c r="Y93" s="89"/>
    </row>
    <row r="94" spans="1:25" ht="19.5" customHeight="1">
      <c r="A94" s="102"/>
      <c r="B94" s="76" t="s">
        <v>4</v>
      </c>
      <c r="C94" s="77">
        <v>3188947</v>
      </c>
      <c r="D94" s="77">
        <v>0</v>
      </c>
      <c r="E94" s="77">
        <v>5837757</v>
      </c>
      <c r="F94" s="77">
        <v>0</v>
      </c>
      <c r="G94" s="77">
        <v>7208040</v>
      </c>
      <c r="H94" s="77">
        <v>1960085</v>
      </c>
      <c r="I94" s="77">
        <v>1461805</v>
      </c>
      <c r="J94" s="77">
        <v>0</v>
      </c>
      <c r="K94" s="77">
        <v>4118672</v>
      </c>
      <c r="L94" s="77">
        <v>0</v>
      </c>
      <c r="M94" s="77">
        <v>500000</v>
      </c>
      <c r="N94" s="77">
        <v>0</v>
      </c>
      <c r="O94" s="77">
        <v>16649303</v>
      </c>
      <c r="P94" s="77">
        <v>0</v>
      </c>
      <c r="Q94" s="77">
        <v>613860</v>
      </c>
      <c r="R94" s="77">
        <v>0</v>
      </c>
      <c r="S94" s="77">
        <v>4092029</v>
      </c>
      <c r="T94" s="77">
        <v>0</v>
      </c>
      <c r="U94" s="77">
        <v>984254</v>
      </c>
      <c r="V94" s="77">
        <v>0</v>
      </c>
      <c r="W94" s="77">
        <f t="shared" si="15"/>
        <v>44654667</v>
      </c>
      <c r="X94" s="78">
        <f t="shared" si="16"/>
        <v>1960085</v>
      </c>
      <c r="Y94" s="89"/>
    </row>
    <row r="95" spans="1:25" ht="19.5" customHeight="1">
      <c r="A95" s="101" t="s">
        <v>50</v>
      </c>
      <c r="B95" s="79" t="s">
        <v>3</v>
      </c>
      <c r="C95" s="80">
        <v>16961570</v>
      </c>
      <c r="D95" s="80">
        <v>0</v>
      </c>
      <c r="E95" s="80">
        <v>688881</v>
      </c>
      <c r="F95" s="80">
        <v>1969871</v>
      </c>
      <c r="G95" s="80">
        <v>22667459</v>
      </c>
      <c r="H95" s="80">
        <v>0</v>
      </c>
      <c r="I95" s="80">
        <v>16514106</v>
      </c>
      <c r="J95" s="80">
        <v>0</v>
      </c>
      <c r="K95" s="80">
        <v>13743265</v>
      </c>
      <c r="L95" s="80">
        <v>0</v>
      </c>
      <c r="M95" s="80">
        <v>310200</v>
      </c>
      <c r="N95" s="80">
        <v>0</v>
      </c>
      <c r="O95" s="80">
        <v>7907104</v>
      </c>
      <c r="P95" s="80">
        <v>0</v>
      </c>
      <c r="Q95" s="80">
        <v>12369670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2">
        <f t="shared" si="15"/>
        <v>91162255</v>
      </c>
      <c r="X95" s="82">
        <f t="shared" si="16"/>
        <v>1969871</v>
      </c>
      <c r="Y95" s="89"/>
    </row>
    <row r="96" spans="1:25" ht="19.5" customHeight="1">
      <c r="A96" s="101"/>
      <c r="B96" s="79" t="s">
        <v>4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1850120</v>
      </c>
      <c r="N96" s="80">
        <v>0</v>
      </c>
      <c r="O96" s="80">
        <v>0</v>
      </c>
      <c r="P96" s="80">
        <v>0</v>
      </c>
      <c r="Q96" s="80">
        <v>3305846</v>
      </c>
      <c r="R96" s="80">
        <v>0</v>
      </c>
      <c r="S96" s="80">
        <v>0</v>
      </c>
      <c r="T96" s="80">
        <v>0</v>
      </c>
      <c r="U96" s="80">
        <v>0</v>
      </c>
      <c r="V96" s="80">
        <v>0</v>
      </c>
      <c r="W96" s="82">
        <f t="shared" si="15"/>
        <v>5155966</v>
      </c>
      <c r="X96" s="83">
        <f t="shared" si="16"/>
        <v>0</v>
      </c>
      <c r="Y96" s="89"/>
    </row>
    <row r="97" spans="1:25" ht="19.5" customHeight="1">
      <c r="A97" s="102" t="s">
        <v>9</v>
      </c>
      <c r="B97" s="76" t="s">
        <v>3</v>
      </c>
      <c r="C97" s="77">
        <v>0</v>
      </c>
      <c r="D97" s="77">
        <v>0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322253</v>
      </c>
      <c r="T97" s="77">
        <v>0</v>
      </c>
      <c r="U97" s="77">
        <v>0</v>
      </c>
      <c r="V97" s="77">
        <v>0</v>
      </c>
      <c r="W97" s="77">
        <f t="shared" si="15"/>
        <v>322253</v>
      </c>
      <c r="X97" s="78">
        <f t="shared" si="16"/>
        <v>0</v>
      </c>
      <c r="Y97" s="89"/>
    </row>
    <row r="98" spans="1:25" ht="19.5" customHeight="1" thickBot="1">
      <c r="A98" s="103"/>
      <c r="B98" s="84" t="s">
        <v>4</v>
      </c>
      <c r="C98" s="85">
        <v>0</v>
      </c>
      <c r="D98" s="85">
        <v>0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0</v>
      </c>
      <c r="P98" s="85">
        <v>0</v>
      </c>
      <c r="Q98" s="85">
        <v>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5">
        <f t="shared" si="15"/>
        <v>0</v>
      </c>
      <c r="X98" s="86">
        <f t="shared" si="16"/>
        <v>0</v>
      </c>
      <c r="Y98" s="89"/>
    </row>
    <row r="99" spans="1:24" ht="19.5" customHeight="1">
      <c r="A99" s="104" t="s">
        <v>18</v>
      </c>
      <c r="B99" s="90"/>
      <c r="C99" s="83">
        <f aca="true" t="shared" si="17" ref="C99:V99">C89+C90+C91+C92+C93+C94+C95+C96+C97+C98</f>
        <v>41746270</v>
      </c>
      <c r="D99" s="83">
        <f t="shared" si="17"/>
        <v>8828220</v>
      </c>
      <c r="E99" s="83">
        <f t="shared" si="17"/>
        <v>18626625</v>
      </c>
      <c r="F99" s="83">
        <f t="shared" si="17"/>
        <v>1969871</v>
      </c>
      <c r="G99" s="83">
        <f t="shared" si="17"/>
        <v>48825218</v>
      </c>
      <c r="H99" s="83">
        <f t="shared" si="17"/>
        <v>21789096</v>
      </c>
      <c r="I99" s="83">
        <f t="shared" si="17"/>
        <v>22001844</v>
      </c>
      <c r="J99" s="83">
        <f t="shared" si="17"/>
        <v>464525</v>
      </c>
      <c r="K99" s="83">
        <f t="shared" si="17"/>
        <v>21161122</v>
      </c>
      <c r="L99" s="83">
        <f t="shared" si="17"/>
        <v>0</v>
      </c>
      <c r="M99" s="83">
        <f t="shared" si="17"/>
        <v>15651241</v>
      </c>
      <c r="N99" s="83">
        <f t="shared" si="17"/>
        <v>0</v>
      </c>
      <c r="O99" s="83">
        <f t="shared" si="17"/>
        <v>29028929</v>
      </c>
      <c r="P99" s="83">
        <f t="shared" si="17"/>
        <v>2005372</v>
      </c>
      <c r="Q99" s="83">
        <f t="shared" si="17"/>
        <v>24211598</v>
      </c>
      <c r="R99" s="83">
        <f t="shared" si="17"/>
        <v>1766561.1241184766</v>
      </c>
      <c r="S99" s="83">
        <f t="shared" si="17"/>
        <v>4966032</v>
      </c>
      <c r="T99" s="83">
        <f t="shared" si="17"/>
        <v>1655251</v>
      </c>
      <c r="U99" s="83">
        <f t="shared" si="17"/>
        <v>1261208</v>
      </c>
      <c r="V99" s="83">
        <f t="shared" si="17"/>
        <v>2079193</v>
      </c>
      <c r="W99" s="83">
        <f t="shared" si="15"/>
        <v>227480087</v>
      </c>
      <c r="X99" s="83">
        <f t="shared" si="16"/>
        <v>40558089.12411848</v>
      </c>
    </row>
    <row r="100" spans="1:24" ht="19.5" customHeight="1" thickBot="1">
      <c r="A100" s="105"/>
      <c r="B100" s="88"/>
      <c r="C100" s="96">
        <f>C99+D99</f>
        <v>50574490</v>
      </c>
      <c r="D100" s="96"/>
      <c r="E100" s="96">
        <f>E99+F99</f>
        <v>20596496</v>
      </c>
      <c r="F100" s="96"/>
      <c r="G100" s="96">
        <f>G99+H99</f>
        <v>70614314</v>
      </c>
      <c r="H100" s="96"/>
      <c r="I100" s="96">
        <f>I99+J99</f>
        <v>22466369</v>
      </c>
      <c r="J100" s="96"/>
      <c r="K100" s="96">
        <f>K99+L99</f>
        <v>21161122</v>
      </c>
      <c r="L100" s="96"/>
      <c r="M100" s="96">
        <f>M99+N99</f>
        <v>15651241</v>
      </c>
      <c r="N100" s="96"/>
      <c r="O100" s="96">
        <f>O99+P99</f>
        <v>31034301</v>
      </c>
      <c r="P100" s="96"/>
      <c r="Q100" s="96">
        <f>Q99+R99</f>
        <v>25978159.124118477</v>
      </c>
      <c r="R100" s="96"/>
      <c r="S100" s="96">
        <f>S99+T99</f>
        <v>6621283</v>
      </c>
      <c r="T100" s="96"/>
      <c r="U100" s="97">
        <f>U99+V99</f>
        <v>3340401</v>
      </c>
      <c r="V100" s="97"/>
      <c r="W100" s="97">
        <f>W99+X99</f>
        <v>268038176.12411848</v>
      </c>
      <c r="X100" s="97"/>
    </row>
    <row r="101" spans="1:23" ht="19.5" customHeight="1" thickBot="1">
      <c r="A101" s="32"/>
      <c r="B101" s="32"/>
      <c r="C101" s="32"/>
      <c r="D101" s="112" t="s">
        <v>51</v>
      </c>
      <c r="E101" s="112"/>
      <c r="F101" s="112" t="s">
        <v>52</v>
      </c>
      <c r="G101" s="112"/>
      <c r="H101" s="112" t="s">
        <v>53</v>
      </c>
      <c r="I101" s="112"/>
      <c r="J101" s="112" t="s">
        <v>54</v>
      </c>
      <c r="K101" s="112"/>
      <c r="L101" s="33"/>
      <c r="M101" s="61"/>
      <c r="N101" s="62"/>
      <c r="W101" s="47"/>
    </row>
    <row r="102" spans="1:23" ht="19.5" customHeight="1">
      <c r="A102" s="127"/>
      <c r="B102" s="127"/>
      <c r="C102" s="127"/>
      <c r="D102" s="59" t="s">
        <v>25</v>
      </c>
      <c r="E102" s="59" t="s">
        <v>26</v>
      </c>
      <c r="F102" s="59" t="s">
        <v>25</v>
      </c>
      <c r="G102" s="59" t="s">
        <v>26</v>
      </c>
      <c r="H102" s="59" t="s">
        <v>25</v>
      </c>
      <c r="I102" s="59" t="s">
        <v>26</v>
      </c>
      <c r="J102" s="34" t="s">
        <v>25</v>
      </c>
      <c r="K102" s="34" t="s">
        <v>26</v>
      </c>
      <c r="L102" s="60"/>
      <c r="W102" s="23"/>
    </row>
    <row r="103" spans="1:14" ht="30" customHeight="1">
      <c r="A103" s="111" t="s">
        <v>27</v>
      </c>
      <c r="B103" s="111"/>
      <c r="C103" s="111"/>
      <c r="D103" s="46" t="s">
        <v>28</v>
      </c>
      <c r="E103" s="46" t="s">
        <v>29</v>
      </c>
      <c r="F103" s="29" t="s">
        <v>28</v>
      </c>
      <c r="G103" s="29" t="s">
        <v>29</v>
      </c>
      <c r="H103" s="29" t="s">
        <v>28</v>
      </c>
      <c r="I103" s="29" t="s">
        <v>29</v>
      </c>
      <c r="J103" s="54" t="s">
        <v>28</v>
      </c>
      <c r="K103" s="54" t="s">
        <v>29</v>
      </c>
      <c r="L103" s="111" t="s">
        <v>30</v>
      </c>
      <c r="M103" s="111"/>
      <c r="N103" s="111"/>
    </row>
    <row r="104" spans="1:14" ht="19.5" customHeight="1">
      <c r="A104" s="116" t="s">
        <v>31</v>
      </c>
      <c r="B104" s="116"/>
      <c r="C104" s="116"/>
      <c r="D104" s="35">
        <v>130890149.64150105</v>
      </c>
      <c r="E104" s="35">
        <v>17700399.743846</v>
      </c>
      <c r="F104" s="35">
        <v>130922710.2434915</v>
      </c>
      <c r="G104" s="35">
        <v>20081634.46</v>
      </c>
      <c r="H104" s="35"/>
      <c r="I104" s="35"/>
      <c r="J104" s="35"/>
      <c r="K104" s="63"/>
      <c r="L104" s="116" t="s">
        <v>32</v>
      </c>
      <c r="M104" s="116"/>
      <c r="N104" s="116"/>
    </row>
    <row r="105" spans="1:14" ht="19.5" customHeight="1">
      <c r="A105" s="114" t="s">
        <v>33</v>
      </c>
      <c r="B105" s="114"/>
      <c r="C105" s="114"/>
      <c r="D105" s="36">
        <v>7060251.326099999</v>
      </c>
      <c r="E105" s="36">
        <v>1909220.8451000003</v>
      </c>
      <c r="F105" s="36">
        <v>6885180</v>
      </c>
      <c r="G105" s="36">
        <v>1189417</v>
      </c>
      <c r="H105" s="36"/>
      <c r="I105" s="36"/>
      <c r="J105" s="36"/>
      <c r="K105" s="64"/>
      <c r="L105" s="114" t="s">
        <v>34</v>
      </c>
      <c r="M105" s="114"/>
      <c r="N105" s="114"/>
    </row>
    <row r="106" spans="1:14" ht="19.5" customHeight="1">
      <c r="A106" s="115" t="s">
        <v>35</v>
      </c>
      <c r="B106" s="115"/>
      <c r="C106" s="115"/>
      <c r="D106" s="35">
        <v>233569728.75739992</v>
      </c>
      <c r="E106" s="35">
        <v>69061285.52724877</v>
      </c>
      <c r="F106" s="35">
        <v>227117037.913</v>
      </c>
      <c r="G106" s="35">
        <v>67450950.47561914</v>
      </c>
      <c r="H106" s="35"/>
      <c r="I106" s="35"/>
      <c r="J106" s="35"/>
      <c r="K106" s="65"/>
      <c r="L106" s="115" t="s">
        <v>36</v>
      </c>
      <c r="M106" s="115"/>
      <c r="N106" s="115"/>
    </row>
    <row r="107" spans="1:14" ht="19.5" customHeight="1">
      <c r="A107" s="114" t="s">
        <v>37</v>
      </c>
      <c r="B107" s="114"/>
      <c r="C107" s="114"/>
      <c r="D107" s="36">
        <v>10284283</v>
      </c>
      <c r="E107" s="36">
        <v>2907595.2313818387</v>
      </c>
      <c r="F107" s="36">
        <v>10080726</v>
      </c>
      <c r="G107" s="36">
        <v>2199161</v>
      </c>
      <c r="H107" s="36"/>
      <c r="I107" s="36"/>
      <c r="J107" s="36"/>
      <c r="K107" s="66"/>
      <c r="L107" s="114" t="s">
        <v>38</v>
      </c>
      <c r="M107" s="114"/>
      <c r="N107" s="114"/>
    </row>
    <row r="108" spans="1:14" ht="27" customHeight="1" thickBot="1">
      <c r="A108" s="113" t="s">
        <v>39</v>
      </c>
      <c r="B108" s="113"/>
      <c r="C108" s="113"/>
      <c r="D108" s="41">
        <v>381804412.725001</v>
      </c>
      <c r="E108" s="41">
        <v>91578501.3475766</v>
      </c>
      <c r="F108" s="41">
        <v>375005654.1564915</v>
      </c>
      <c r="G108" s="41">
        <v>90921162.93561915</v>
      </c>
      <c r="H108" s="41">
        <f>SUM(H104:H107)</f>
        <v>0</v>
      </c>
      <c r="I108" s="41">
        <f>SUM(I104:I107)</f>
        <v>0</v>
      </c>
      <c r="J108" s="41">
        <f>SUM(J104:J107)</f>
        <v>0</v>
      </c>
      <c r="K108" s="41">
        <f>SUM(K104:K107)</f>
        <v>0</v>
      </c>
      <c r="L108" s="113" t="s">
        <v>40</v>
      </c>
      <c r="M108" s="113"/>
      <c r="N108" s="113"/>
    </row>
  </sheetData>
  <sheetProtection/>
  <mergeCells count="194">
    <mergeCell ref="O47:P47"/>
    <mergeCell ref="A67:B67"/>
    <mergeCell ref="C67:D67"/>
    <mergeCell ref="E67:F67"/>
    <mergeCell ref="A20:E20"/>
    <mergeCell ref="H20:X20"/>
    <mergeCell ref="S27:T27"/>
    <mergeCell ref="U27:V27"/>
    <mergeCell ref="W27:X27"/>
    <mergeCell ref="A29:A30"/>
    <mergeCell ref="W6:X6"/>
    <mergeCell ref="M6:N6"/>
    <mergeCell ref="M19:N19"/>
    <mergeCell ref="E19:F19"/>
    <mergeCell ref="A8:A9"/>
    <mergeCell ref="I19:J19"/>
    <mergeCell ref="K19:L19"/>
    <mergeCell ref="A12:A13"/>
    <mergeCell ref="A18:A19"/>
    <mergeCell ref="Q19:R19"/>
    <mergeCell ref="S19:T19"/>
    <mergeCell ref="A10:A11"/>
    <mergeCell ref="U6:V6"/>
    <mergeCell ref="S6:T6"/>
    <mergeCell ref="Q6:R6"/>
    <mergeCell ref="C6:D6"/>
    <mergeCell ref="A1:E1"/>
    <mergeCell ref="A14:A15"/>
    <mergeCell ref="A16:A17"/>
    <mergeCell ref="G6:H6"/>
    <mergeCell ref="H1:X1"/>
    <mergeCell ref="A5:X5"/>
    <mergeCell ref="I6:J6"/>
    <mergeCell ref="K6:L6"/>
    <mergeCell ref="O6:P6"/>
    <mergeCell ref="E6:F6"/>
    <mergeCell ref="H2:X2"/>
    <mergeCell ref="H4:X4"/>
    <mergeCell ref="G19:H19"/>
    <mergeCell ref="O19:P19"/>
    <mergeCell ref="A2:D2"/>
    <mergeCell ref="A4:G4"/>
    <mergeCell ref="A6:B6"/>
    <mergeCell ref="U19:V19"/>
    <mergeCell ref="C19:D19"/>
    <mergeCell ref="W19:X19"/>
    <mergeCell ref="A25:G25"/>
    <mergeCell ref="H25:X25"/>
    <mergeCell ref="A26:X26"/>
    <mergeCell ref="A27:B27"/>
    <mergeCell ref="C27:D27"/>
    <mergeCell ref="E27:F27"/>
    <mergeCell ref="O27:P27"/>
    <mergeCell ref="Q27:R27"/>
    <mergeCell ref="G27:H27"/>
    <mergeCell ref="I27:J27"/>
    <mergeCell ref="K27:L27"/>
    <mergeCell ref="M27:N27"/>
    <mergeCell ref="U40:V40"/>
    <mergeCell ref="W40:X40"/>
    <mergeCell ref="A31:A32"/>
    <mergeCell ref="A33:A34"/>
    <mergeCell ref="A35:A36"/>
    <mergeCell ref="A37:A38"/>
    <mergeCell ref="A39:A40"/>
    <mergeCell ref="C40:D40"/>
    <mergeCell ref="I40:J40"/>
    <mergeCell ref="K40:L40"/>
    <mergeCell ref="M40:N40"/>
    <mergeCell ref="O40:P40"/>
    <mergeCell ref="A22:E22"/>
    <mergeCell ref="H22:X22"/>
    <mergeCell ref="A23:D23"/>
    <mergeCell ref="H23:X23"/>
    <mergeCell ref="Q40:R40"/>
    <mergeCell ref="S40:T40"/>
    <mergeCell ref="A104:C104"/>
    <mergeCell ref="A105:C105"/>
    <mergeCell ref="A106:C106"/>
    <mergeCell ref="A107:C107"/>
    <mergeCell ref="E40:F40"/>
    <mergeCell ref="G40:H40"/>
    <mergeCell ref="C47:D47"/>
    <mergeCell ref="E47:F47"/>
    <mergeCell ref="G47:H47"/>
    <mergeCell ref="A62:E62"/>
    <mergeCell ref="A108:C108"/>
    <mergeCell ref="A102:C102"/>
    <mergeCell ref="A42:E42"/>
    <mergeCell ref="H42:X42"/>
    <mergeCell ref="A43:D43"/>
    <mergeCell ref="H43:X43"/>
    <mergeCell ref="A45:G45"/>
    <mergeCell ref="H45:X45"/>
    <mergeCell ref="A46:X46"/>
    <mergeCell ref="A103:C103"/>
    <mergeCell ref="Q47:R47"/>
    <mergeCell ref="S47:T47"/>
    <mergeCell ref="U47:V47"/>
    <mergeCell ref="W47:X47"/>
    <mergeCell ref="A49:A50"/>
    <mergeCell ref="A51:A52"/>
    <mergeCell ref="A47:B47"/>
    <mergeCell ref="I47:J47"/>
    <mergeCell ref="K47:L47"/>
    <mergeCell ref="M47:N47"/>
    <mergeCell ref="Q60:R60"/>
    <mergeCell ref="A53:A54"/>
    <mergeCell ref="A55:A56"/>
    <mergeCell ref="A57:A58"/>
    <mergeCell ref="A59:A60"/>
    <mergeCell ref="C60:D60"/>
    <mergeCell ref="E60:F60"/>
    <mergeCell ref="A63:D63"/>
    <mergeCell ref="A65:G65"/>
    <mergeCell ref="S60:T60"/>
    <mergeCell ref="U60:V60"/>
    <mergeCell ref="W60:X60"/>
    <mergeCell ref="G60:H60"/>
    <mergeCell ref="I60:J60"/>
    <mergeCell ref="K60:L60"/>
    <mergeCell ref="M60:N60"/>
    <mergeCell ref="O60:P60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Y80"/>
    <mergeCell ref="A69:A70"/>
    <mergeCell ref="A71:A72"/>
    <mergeCell ref="A73:A74"/>
    <mergeCell ref="A75:A76"/>
    <mergeCell ref="A77:A78"/>
    <mergeCell ref="A79:A80"/>
    <mergeCell ref="W80:X80"/>
    <mergeCell ref="C80:D80"/>
    <mergeCell ref="E80:F80"/>
    <mergeCell ref="G80:H80"/>
    <mergeCell ref="I80:J80"/>
    <mergeCell ref="K80:L80"/>
    <mergeCell ref="M80:N80"/>
    <mergeCell ref="L108:N108"/>
    <mergeCell ref="L107:N107"/>
    <mergeCell ref="L106:N106"/>
    <mergeCell ref="L105:N105"/>
    <mergeCell ref="L104:N104"/>
    <mergeCell ref="A66:X66"/>
    <mergeCell ref="O80:P80"/>
    <mergeCell ref="Q80:R80"/>
    <mergeCell ref="S80:T80"/>
    <mergeCell ref="U80:V80"/>
    <mergeCell ref="L103:N103"/>
    <mergeCell ref="D101:E101"/>
    <mergeCell ref="F101:G101"/>
    <mergeCell ref="H101:I101"/>
    <mergeCell ref="J101:K101"/>
    <mergeCell ref="M100:N100"/>
    <mergeCell ref="I100:J100"/>
    <mergeCell ref="K100:L100"/>
    <mergeCell ref="W87:X87"/>
    <mergeCell ref="A89:A90"/>
    <mergeCell ref="A91:A92"/>
    <mergeCell ref="A93:A94"/>
    <mergeCell ref="A86:X86"/>
    <mergeCell ref="A87:B87"/>
    <mergeCell ref="C87:D87"/>
    <mergeCell ref="E87:F87"/>
    <mergeCell ref="G87:H87"/>
    <mergeCell ref="I87:J87"/>
    <mergeCell ref="A99:A100"/>
    <mergeCell ref="C100:D100"/>
    <mergeCell ref="E100:F100"/>
    <mergeCell ref="G100:H100"/>
    <mergeCell ref="S87:T87"/>
    <mergeCell ref="U87:V87"/>
    <mergeCell ref="K87:L87"/>
    <mergeCell ref="M87:N87"/>
    <mergeCell ref="O87:P87"/>
    <mergeCell ref="Q87:R87"/>
    <mergeCell ref="O100:P100"/>
    <mergeCell ref="Q100:R100"/>
    <mergeCell ref="S100:T100"/>
    <mergeCell ref="U100:V100"/>
    <mergeCell ref="W100:X100"/>
    <mergeCell ref="A82:E82"/>
    <mergeCell ref="A83:D83"/>
    <mergeCell ref="A85:G85"/>
    <mergeCell ref="A95:A96"/>
    <mergeCell ref="A97:A98"/>
  </mergeCells>
  <printOptions/>
  <pageMargins left="0.2" right="0.28" top="0.75" bottom="0.75" header="0.3" footer="0.3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Invest_2018_RD</dc:title>
  <dc:subject/>
  <dc:creator/>
  <cp:keywords/>
  <dc:description/>
  <cp:lastModifiedBy/>
  <dcterms:created xsi:type="dcterms:W3CDTF">2006-09-16T00:00:00Z</dcterms:created>
  <dcterms:modified xsi:type="dcterms:W3CDTF">2022-08-18T17:44:52Z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MCTET7URAYYM-123422113-175</vt:lpwstr>
  </property>
  <property fmtid="{D5CDD505-2E9C-101B-9397-08002B2CF9AE}" pid="3" name="_dlc_DocIdItemGuid">
    <vt:lpwstr>703ca12c-dcf1-449f-8daa-9036b0302c64</vt:lpwstr>
  </property>
  <property fmtid="{D5CDD505-2E9C-101B-9397-08002B2CF9AE}" pid="4" name="_dlc_DocIdUrl">
    <vt:lpwstr>https://bms.pcma.ps/Rsearches/Statistics/_layouts/15/DocIdRedir.aspx?ID=MCTET7URAYYM-123422113-175, MCTET7URAYYM-123422113-175</vt:lpwstr>
  </property>
</Properties>
</file>