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filterPrivacy="1" defaultThemeVersion="124226"/>
  <xr:revisionPtr revIDLastSave="0" documentId="13_ncr:1_{9CC69ED6-89D8-4330-BF83-209F0BF3278B}" xr6:coauthVersionLast="36" xr6:coauthVersionMax="36" xr10:uidLastSave="{00000000-0000-0000-0000-000000000000}"/>
  <bookViews>
    <workbookView xWindow="32760" yWindow="32760" windowWidth="24000" windowHeight="9600" firstSheet="1" activeTab="1" xr2:uid="{00000000-000D-0000-FFFF-FFFF00000000}"/>
  </bookViews>
  <sheets>
    <sheet name="ورقة1" sheetId="1" r:id="rId1"/>
    <sheet name="Invest" sheetId="2" r:id="rId2"/>
  </sheets>
  <definedNames>
    <definedName name="_xlnm.Print_Area" localSheetId="1">Invest!$A$1:$X$94</definedName>
  </definedNames>
  <calcPr calcId="191029"/>
</workbook>
</file>

<file path=xl/calcChain.xml><?xml version="1.0" encoding="utf-8"?>
<calcChain xmlns="http://schemas.openxmlformats.org/spreadsheetml/2006/main">
  <c r="K93" i="2" l="1"/>
  <c r="J93" i="2"/>
  <c r="H93" i="2"/>
  <c r="G93" i="2"/>
  <c r="E93" i="2"/>
  <c r="D93" i="2"/>
  <c r="F91" i="2"/>
  <c r="F93" i="2" s="1"/>
  <c r="I89" i="2"/>
  <c r="I93" i="2" s="1"/>
  <c r="V81" i="2"/>
  <c r="U81" i="2"/>
  <c r="T81" i="2"/>
  <c r="S81" i="2"/>
  <c r="Q81" i="2"/>
  <c r="P81" i="2"/>
  <c r="O81" i="2"/>
  <c r="N81" i="2"/>
  <c r="M81" i="2"/>
  <c r="L81" i="2"/>
  <c r="K81" i="2"/>
  <c r="J81" i="2"/>
  <c r="I81" i="2"/>
  <c r="F81" i="2"/>
  <c r="E81" i="2"/>
  <c r="D81" i="2"/>
  <c r="C81" i="2"/>
  <c r="C82" i="2" s="1"/>
  <c r="X80" i="2"/>
  <c r="W80" i="2"/>
  <c r="X79" i="2"/>
  <c r="W79" i="2"/>
  <c r="W78" i="2"/>
  <c r="H78" i="2"/>
  <c r="X78" i="2" s="1"/>
  <c r="W77" i="2"/>
  <c r="R77" i="2"/>
  <c r="R81" i="2" s="1"/>
  <c r="X76" i="2"/>
  <c r="W76" i="2"/>
  <c r="X75" i="2"/>
  <c r="W75" i="2"/>
  <c r="X74" i="2"/>
  <c r="G74" i="2"/>
  <c r="W74" i="2" s="1"/>
  <c r="X73" i="2"/>
  <c r="W73" i="2"/>
  <c r="X72" i="2"/>
  <c r="W72" i="2"/>
  <c r="W71" i="2"/>
  <c r="H71" i="2"/>
  <c r="X71" i="2" s="1"/>
  <c r="Q50" i="2"/>
  <c r="Q60" i="2" s="1"/>
  <c r="H50" i="2"/>
  <c r="G51" i="2"/>
  <c r="H51" i="2"/>
  <c r="X51" i="2"/>
  <c r="G50" i="2"/>
  <c r="G60" i="2" s="1"/>
  <c r="G61" i="2" s="1"/>
  <c r="X59" i="2"/>
  <c r="P57" i="2"/>
  <c r="L57" i="2"/>
  <c r="L60" i="2" s="1"/>
  <c r="P50" i="2"/>
  <c r="O50" i="2"/>
  <c r="O60" i="2" s="1"/>
  <c r="I51" i="2"/>
  <c r="I60" i="2" s="1"/>
  <c r="W33" i="2"/>
  <c r="T36" i="2"/>
  <c r="X36" i="2" s="1"/>
  <c r="P29" i="2"/>
  <c r="P39" i="2" s="1"/>
  <c r="L36" i="2"/>
  <c r="L39" i="2"/>
  <c r="J30" i="2"/>
  <c r="J39" i="2" s="1"/>
  <c r="I40" i="2" s="1"/>
  <c r="I30" i="2"/>
  <c r="J36" i="2"/>
  <c r="G30" i="2"/>
  <c r="H30" i="2" s="1"/>
  <c r="H29" i="2"/>
  <c r="X29" i="2" s="1"/>
  <c r="H36" i="2"/>
  <c r="D29" i="2"/>
  <c r="D39" i="2" s="1"/>
  <c r="C29" i="2"/>
  <c r="W29" i="2" s="1"/>
  <c r="Q9" i="2"/>
  <c r="W9" i="2" s="1"/>
  <c r="J15" i="2"/>
  <c r="D8" i="2"/>
  <c r="D18" i="2"/>
  <c r="H11" i="2"/>
  <c r="X11" i="2" s="1"/>
  <c r="G11" i="2"/>
  <c r="G10" i="2"/>
  <c r="W10" i="2" s="1"/>
  <c r="H8" i="2"/>
  <c r="G8" i="2"/>
  <c r="N15" i="2"/>
  <c r="N18" i="2" s="1"/>
  <c r="P8" i="2"/>
  <c r="R9" i="2"/>
  <c r="X9" i="2" s="1"/>
  <c r="R8" i="2"/>
  <c r="Q8" i="2"/>
  <c r="R15" i="2"/>
  <c r="V60" i="2"/>
  <c r="W57" i="2"/>
  <c r="F18" i="2"/>
  <c r="U60" i="2"/>
  <c r="T60" i="2"/>
  <c r="S60" i="2"/>
  <c r="N60" i="2"/>
  <c r="M60" i="2"/>
  <c r="M61" i="2" s="1"/>
  <c r="K60" i="2"/>
  <c r="J60" i="2"/>
  <c r="E60" i="2"/>
  <c r="D60" i="2"/>
  <c r="W59" i="2"/>
  <c r="X58" i="2"/>
  <c r="W58" i="2"/>
  <c r="X56" i="2"/>
  <c r="W56" i="2"/>
  <c r="X55" i="2"/>
  <c r="W55" i="2"/>
  <c r="X54" i="2"/>
  <c r="W54" i="2"/>
  <c r="X53" i="2"/>
  <c r="W53" i="2"/>
  <c r="X52" i="2"/>
  <c r="W52" i="2"/>
  <c r="W31" i="2"/>
  <c r="X31" i="2"/>
  <c r="W32" i="2"/>
  <c r="X32" i="2"/>
  <c r="W34" i="2"/>
  <c r="X34" i="2"/>
  <c r="W35" i="2"/>
  <c r="X35" i="2"/>
  <c r="W36" i="2"/>
  <c r="W37" i="2"/>
  <c r="X37" i="2"/>
  <c r="W38" i="2"/>
  <c r="X38" i="2"/>
  <c r="R39" i="2"/>
  <c r="X33" i="2"/>
  <c r="G39" i="2"/>
  <c r="V39" i="2"/>
  <c r="U39" i="2"/>
  <c r="S39" i="2"/>
  <c r="O39" i="2"/>
  <c r="N39" i="2"/>
  <c r="M39" i="2"/>
  <c r="M40" i="2" s="1"/>
  <c r="K39" i="2"/>
  <c r="K40" i="2"/>
  <c r="I39" i="2"/>
  <c r="E39" i="2"/>
  <c r="Q39" i="2"/>
  <c r="Q40" i="2" s="1"/>
  <c r="V18" i="2"/>
  <c r="J18" i="2"/>
  <c r="W12" i="2"/>
  <c r="W13" i="2"/>
  <c r="W14" i="2"/>
  <c r="W15" i="2"/>
  <c r="W16" i="2"/>
  <c r="W17" i="2"/>
  <c r="X10" i="2"/>
  <c r="X13" i="2"/>
  <c r="X14" i="2"/>
  <c r="X16" i="2"/>
  <c r="X17" i="2"/>
  <c r="I18" i="2"/>
  <c r="I19" i="2" s="1"/>
  <c r="E18" i="2"/>
  <c r="E19" i="2" s="1"/>
  <c r="C18" i="2"/>
  <c r="K18" i="2"/>
  <c r="L18" i="2"/>
  <c r="K19" i="2" s="1"/>
  <c r="M18" i="2"/>
  <c r="M19" i="2" s="1"/>
  <c r="O18" i="2"/>
  <c r="P18" i="2"/>
  <c r="O19" i="2" s="1"/>
  <c r="S18" i="2"/>
  <c r="U18" i="2"/>
  <c r="U19" i="2"/>
  <c r="S6" i="1"/>
  <c r="T7" i="1"/>
  <c r="T8" i="1"/>
  <c r="T9" i="1"/>
  <c r="T13" i="1"/>
  <c r="T14" i="1"/>
  <c r="T6" i="1"/>
  <c r="S7" i="1"/>
  <c r="S8" i="1"/>
  <c r="S9" i="1"/>
  <c r="S10" i="1"/>
  <c r="S11" i="1"/>
  <c r="S12" i="1"/>
  <c r="S13" i="1"/>
  <c r="S14" i="1"/>
  <c r="P12" i="1"/>
  <c r="P15" i="1" s="1"/>
  <c r="N11" i="1"/>
  <c r="T11" i="1" s="1"/>
  <c r="C15" i="1"/>
  <c r="S15" i="1" s="1"/>
  <c r="D15" i="1"/>
  <c r="E15" i="1"/>
  <c r="E16" i="1"/>
  <c r="F15" i="1"/>
  <c r="G15" i="1"/>
  <c r="H15" i="1"/>
  <c r="G16" i="1"/>
  <c r="I15" i="1"/>
  <c r="I16" i="1" s="1"/>
  <c r="J15" i="1"/>
  <c r="K15" i="1"/>
  <c r="K16" i="1" s="1"/>
  <c r="L15" i="1"/>
  <c r="M15" i="1"/>
  <c r="O15" i="1"/>
  <c r="Q15" i="1"/>
  <c r="R15" i="1"/>
  <c r="Q16" i="1"/>
  <c r="L23" i="1"/>
  <c r="N10" i="1"/>
  <c r="P26" i="1" s="1"/>
  <c r="T10" i="1"/>
  <c r="T18" i="2"/>
  <c r="S19" i="2" s="1"/>
  <c r="X12" i="2"/>
  <c r="F39" i="2"/>
  <c r="X50" i="2"/>
  <c r="H60" i="2"/>
  <c r="R60" i="2"/>
  <c r="C60" i="2"/>
  <c r="C61" i="2" s="1"/>
  <c r="F60" i="2"/>
  <c r="E61" i="2" s="1"/>
  <c r="E40" i="2"/>
  <c r="X8" i="2"/>
  <c r="S61" i="2" l="1"/>
  <c r="K61" i="2"/>
  <c r="Q61" i="2"/>
  <c r="X77" i="2"/>
  <c r="T39" i="2"/>
  <c r="S40" i="2" s="1"/>
  <c r="C39" i="2"/>
  <c r="W39" i="2" s="1"/>
  <c r="C19" i="2"/>
  <c r="U40" i="2"/>
  <c r="K82" i="2"/>
  <c r="O82" i="2"/>
  <c r="S82" i="2"/>
  <c r="O40" i="2"/>
  <c r="U61" i="2"/>
  <c r="X57" i="2"/>
  <c r="I82" i="2"/>
  <c r="M82" i="2"/>
  <c r="Q82" i="2"/>
  <c r="U82" i="2"/>
  <c r="W50" i="2"/>
  <c r="W30" i="2"/>
  <c r="Q18" i="2"/>
  <c r="W51" i="2"/>
  <c r="H18" i="2"/>
  <c r="R18" i="2"/>
  <c r="W8" i="2"/>
  <c r="G18" i="2"/>
  <c r="P60" i="2"/>
  <c r="X60" i="2" s="1"/>
  <c r="E82" i="2"/>
  <c r="G81" i="2"/>
  <c r="W81" i="2" s="1"/>
  <c r="H81" i="2"/>
  <c r="X81" i="2" s="1"/>
  <c r="C40" i="2"/>
  <c r="I61" i="2"/>
  <c r="W60" i="2"/>
  <c r="X39" i="2"/>
  <c r="W40" i="2" s="1"/>
  <c r="O16" i="1"/>
  <c r="X30" i="2"/>
  <c r="H39" i="2"/>
  <c r="G40" i="2" s="1"/>
  <c r="W11" i="2"/>
  <c r="X15" i="2"/>
  <c r="X18" i="2" s="1"/>
  <c r="N12" i="1"/>
  <c r="C16" i="1"/>
  <c r="O61" i="2" l="1"/>
  <c r="W18" i="2"/>
  <c r="W19" i="2" s="1"/>
  <c r="Q19" i="2"/>
  <c r="W61" i="2"/>
  <c r="G19" i="2"/>
  <c r="W82" i="2"/>
  <c r="G82" i="2"/>
  <c r="N15" i="1"/>
  <c r="T12" i="1"/>
  <c r="M16" i="1" l="1"/>
  <c r="T15" i="1"/>
  <c r="S16" i="1" s="1"/>
</calcChain>
</file>

<file path=xl/sharedStrings.xml><?xml version="1.0" encoding="utf-8"?>
<sst xmlns="http://schemas.openxmlformats.org/spreadsheetml/2006/main" count="331" uniqueCount="81">
  <si>
    <t>سندات</t>
  </si>
  <si>
    <t>خارجي</t>
  </si>
  <si>
    <t>داخلي</t>
  </si>
  <si>
    <t>طويلة اجل</t>
  </si>
  <si>
    <t>قصيرة اجل</t>
  </si>
  <si>
    <t xml:space="preserve">ترست </t>
  </si>
  <si>
    <t xml:space="preserve">الشركة </t>
  </si>
  <si>
    <t xml:space="preserve">استثمارات عقارية  </t>
  </si>
  <si>
    <t xml:space="preserve">ودائع بنكية </t>
  </si>
  <si>
    <t xml:space="preserve">أخرى </t>
  </si>
  <si>
    <t xml:space="preserve">الوطنية </t>
  </si>
  <si>
    <t xml:space="preserve">العالمية </t>
  </si>
  <si>
    <t>فلسطين</t>
  </si>
  <si>
    <t>التكافل</t>
  </si>
  <si>
    <t xml:space="preserve">المشرق </t>
  </si>
  <si>
    <t xml:space="preserve">اليكو </t>
  </si>
  <si>
    <t xml:space="preserve">الرهن العقاري </t>
  </si>
  <si>
    <t xml:space="preserve">القطاع </t>
  </si>
  <si>
    <t xml:space="preserve">            اسهم </t>
  </si>
  <si>
    <t xml:space="preserve">المجموع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</si>
  <si>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</si>
  <si>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</si>
  <si>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</si>
  <si>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</si>
  <si>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</si>
  <si>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</si>
  <si>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</si>
  <si>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</si>
  <si>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</si>
  <si>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</si>
  <si>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</si>
  <si>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</si>
  <si>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</si>
  <si>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</si>
  <si>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</si>
  <si>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</si>
  <si>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</si>
  <si>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</si>
  <si>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</si>
  <si>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</si>
  <si>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 xml:space="preserve">اسهم </t>
  </si>
  <si>
    <t>العملة: (دولار امريكي)</t>
  </si>
  <si>
    <t>Currency: (US Dollar)</t>
  </si>
  <si>
    <t>الاستثمارات</t>
  </si>
  <si>
    <t>Investments</t>
  </si>
  <si>
    <t>الاهلية</t>
  </si>
  <si>
    <t>اجمالي المخصص</t>
  </si>
  <si>
    <t>حصة معيد التأمين</t>
  </si>
  <si>
    <t>البيان</t>
  </si>
  <si>
    <t>Total provision</t>
  </si>
  <si>
    <t>Reinsurer's share</t>
  </si>
  <si>
    <t xml:space="preserve">Description </t>
  </si>
  <si>
    <t>احتياطي الاخطار السارية</t>
  </si>
  <si>
    <t>Current risk reserve</t>
  </si>
  <si>
    <t>الاحتياطي  الحسابي</t>
  </si>
  <si>
    <t>Mathematical reserve</t>
  </si>
  <si>
    <t>احتياطي ادعاءات تحت التسوية</t>
  </si>
  <si>
    <t>Outstanding claims reserve</t>
  </si>
  <si>
    <t>احتياطي ادعاءات غير مبلغ عنها</t>
  </si>
  <si>
    <t>Unreported claims reserve</t>
  </si>
  <si>
    <t>المجموع</t>
  </si>
  <si>
    <t>Total</t>
  </si>
  <si>
    <t>تمكين</t>
  </si>
  <si>
    <t>*Statistics not included financial statement of the  Ahleia Insurance Group</t>
  </si>
  <si>
    <t xml:space="preserve">* الاحصائيات لا تشمل البيانات المالية لشركة المجموعه الاهلية للتامين </t>
  </si>
  <si>
    <t>30/9/2021</t>
  </si>
  <si>
    <t>تحليل الاستثمارات والاحتياطيات الفنية كما في 31/03/2021*</t>
  </si>
  <si>
    <t>تحليل الاستثمارات والاحتياطيات الفنية كما في 30/06/2021 :- *</t>
  </si>
  <si>
    <t xml:space="preserve">Analysis of investments &amp; technical reserves as it is on 30/06/2021 :- * </t>
  </si>
  <si>
    <t>تحليل الاستثمارات والاحتياطيات الفنية كما في 30/09/2021 :- *</t>
  </si>
  <si>
    <t>Analysis of investments &amp; technical reserves as it is on 30/09/2021 :-   *</t>
  </si>
  <si>
    <t xml:space="preserve">Analysis of investments &amp; technical reserves as it is on 31/03/2021 :-*    </t>
  </si>
  <si>
    <t>31/3/2021</t>
  </si>
  <si>
    <t>30/6/2021</t>
  </si>
  <si>
    <t>تحليل الاستثمارات والاحتياطيات الفنية كما في 31/12/2021 :-*</t>
  </si>
  <si>
    <t xml:space="preserve">Analysis of investments &amp; technical reserves as it is on 31/12/2021 :-*    </t>
  </si>
  <si>
    <t>الاستثمارات *</t>
  </si>
  <si>
    <t xml:space="preserve">31/12/2021 </t>
  </si>
  <si>
    <t xml:space="preserve">احتياطيات التأمين الفنية* </t>
  </si>
  <si>
    <t>31/12/2021</t>
  </si>
  <si>
    <t>*Statistics does not include financial statement of the Ahlia Insurance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</si>
</sst>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_-* #,##0_-;_-* #,##0\-;_-* &quot;-&quot;??_-;_-@_-"/>
    <numFmt numFmtId="166" formatCode="#,##0_-"/>
    <numFmt numFmtId="167" formatCode="#,##0;[Red]#,##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implified Arabic"/>
      <family val="1"/>
    </font>
    <font>
      <sz val="11"/>
      <color theme="1"/>
      <name val="Simplified Arabic"/>
      <family val="1"/>
    </font>
    <font>
      <b/>
      <sz val="11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rgb="FF5A4573"/>
      <name val="Arial"/>
      <family val="2"/>
    </font>
    <font>
      <b/>
      <sz val="10"/>
      <color rgb="FF5A4573"/>
      <name val="Arial"/>
      <family val="2"/>
    </font>
    <font>
      <b/>
      <sz val="11"/>
      <color rgb="FF5A4573"/>
      <name val="Arial Body"/>
      <charset val="178"/>
    </font>
    <font>
      <b/>
      <sz val="11"/>
      <color rgb="FF5A4573"/>
      <name val="Arial Body"/>
    </font>
    <font>
      <sz val="11"/>
      <color rgb="FF5A4573"/>
      <name val="Arial Body"/>
    </font>
    <font>
      <sz val="11"/>
      <color theme="7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7" tint="0.79998168889431442"/>
      </patternFill>
    </fill>
    <fill>
      <patternFill patternType="solid">
        <fgColor rgb="FFDFD8E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7" tint="-0.249977111117893"/>
      </bottom>
      <diagonal/>
    </border>
    <border>
      <left/>
      <right/>
      <top/>
      <bottom style="thin">
        <color theme="7" tint="-0.249977111117893"/>
      </bottom>
      <diagonal/>
    </border>
    <border>
      <left/>
      <right/>
      <top style="medium">
        <color theme="7" tint="-0.249977111117893"/>
      </top>
      <bottom style="medium">
        <color theme="7" tint="-0.249977111117893"/>
      </bottom>
      <diagonal/>
    </border>
    <border>
      <left/>
      <right/>
      <top style="medium">
        <color theme="7" tint="-0.499984740745262"/>
      </top>
      <bottom/>
      <diagonal/>
    </border>
    <border>
      <left/>
      <right/>
      <top style="thin">
        <color theme="7" tint="-0.249977111117893"/>
      </top>
      <bottom/>
      <diagonal/>
    </border>
    <border>
      <left/>
      <right/>
      <top style="medium">
        <color theme="7" tint="-0.249977111117893"/>
      </top>
      <bottom/>
      <diagonal/>
    </border>
    <border>
      <left style="thin">
        <color theme="7" tint="-0.249977111117893"/>
      </left>
      <right/>
      <top style="medium">
        <color theme="7" tint="-0.249977111117893"/>
      </top>
      <bottom style="thin">
        <color theme="7" tint="-0.249977111117893"/>
      </bottom>
      <diagonal/>
    </border>
    <border>
      <left/>
      <right/>
      <top style="medium">
        <color theme="7" tint="-0.249977111117893"/>
      </top>
      <bottom style="thin">
        <color theme="7" tint="-0.249977111117893"/>
      </bottom>
      <diagonal/>
    </border>
    <border>
      <left/>
      <right style="thin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5" fillId="4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0" fillId="0" borderId="0" xfId="0" applyAlignment="1">
      <alignment horizontal="right"/>
    </xf>
    <xf numFmtId="165" fontId="1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5" fontId="5" fillId="3" borderId="0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165" fontId="5" fillId="0" borderId="0" xfId="1" applyNumberFormat="1" applyFont="1" applyFill="1" applyAlignment="1">
      <alignment horizontal="center" vertical="center" wrapText="1"/>
    </xf>
    <xf numFmtId="0" fontId="7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Border="1" applyAlignment="1" applyProtection="1">
      <alignment vertical="center"/>
      <protection locked="0"/>
    </xf>
    <xf numFmtId="9" fontId="1" fillId="0" borderId="0" xfId="2" applyFont="1"/>
    <xf numFmtId="165" fontId="1" fillId="0" borderId="0" xfId="1" applyNumberFormat="1" applyFont="1"/>
    <xf numFmtId="165" fontId="0" fillId="0" borderId="0" xfId="0" applyNumberFormat="1"/>
    <xf numFmtId="165" fontId="6" fillId="0" borderId="0" xfId="0" applyNumberFormat="1" applyFont="1" applyBorder="1" applyAlignment="1" applyProtection="1">
      <alignment horizontal="right" vertical="center"/>
    </xf>
    <xf numFmtId="164" fontId="7" fillId="0" borderId="0" xfId="1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166" fontId="10" fillId="0" borderId="0" xfId="0" applyNumberFormat="1" applyFont="1" applyFill="1" applyBorder="1" applyAlignment="1" applyProtection="1">
      <alignment horizontal="center" vertical="center" wrapText="1"/>
    </xf>
    <xf numFmtId="166" fontId="10" fillId="5" borderId="0" xfId="0" applyNumberFormat="1" applyFont="1" applyFill="1" applyBorder="1" applyAlignment="1" applyProtection="1">
      <alignment horizontal="center" vertical="center" wrapText="1"/>
    </xf>
    <xf numFmtId="167" fontId="5" fillId="2" borderId="0" xfId="1" applyNumberFormat="1" applyFont="1" applyFill="1" applyAlignment="1">
      <alignment horizontal="center" vertical="center" wrapText="1"/>
    </xf>
    <xf numFmtId="167" fontId="5" fillId="4" borderId="0" xfId="1" applyNumberFormat="1" applyFont="1" applyFill="1" applyAlignment="1">
      <alignment horizontal="center" vertical="center" wrapText="1"/>
    </xf>
    <xf numFmtId="167" fontId="5" fillId="3" borderId="0" xfId="1" applyNumberFormat="1" applyFont="1" applyFill="1" applyAlignment="1">
      <alignment horizontal="center" vertical="center" wrapText="1"/>
    </xf>
    <xf numFmtId="167" fontId="5" fillId="3" borderId="0" xfId="1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7" fontId="4" fillId="4" borderId="0" xfId="1" applyNumberFormat="1" applyFont="1" applyFill="1" applyBorder="1" applyAlignment="1">
      <alignment horizontal="center" vertical="center" wrapText="1" readingOrder="1"/>
    </xf>
    <xf numFmtId="167" fontId="0" fillId="0" borderId="0" xfId="0" applyNumberFormat="1"/>
    <xf numFmtId="167" fontId="1" fillId="0" borderId="0" xfId="1" applyNumberFormat="1" applyFont="1" applyAlignment="1">
      <alignment horizontal="center" vertical="center"/>
    </xf>
    <xf numFmtId="167" fontId="1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167" fontId="4" fillId="4" borderId="0" xfId="1" applyNumberFormat="1" applyFont="1" applyFill="1" applyBorder="1" applyAlignment="1">
      <alignment horizontal="left" vertical="center" wrapText="1"/>
    </xf>
    <xf numFmtId="167" fontId="4" fillId="4" borderId="0" xfId="1" applyNumberFormat="1" applyFont="1" applyFill="1" applyBorder="1" applyAlignment="1">
      <alignment vertical="center" wrapText="1"/>
    </xf>
    <xf numFmtId="164" fontId="5" fillId="2" borderId="0" xfId="1" applyFont="1" applyFill="1" applyAlignment="1">
      <alignment horizontal="center" vertical="center" wrapText="1"/>
    </xf>
    <xf numFmtId="164" fontId="5" fillId="4" borderId="0" xfId="1" applyFont="1" applyFill="1" applyAlignment="1">
      <alignment horizontal="center" vertical="center" wrapText="1"/>
    </xf>
    <xf numFmtId="164" fontId="5" fillId="3" borderId="0" xfId="1" applyFont="1" applyFill="1" applyAlignment="1">
      <alignment horizontal="center" vertical="center" wrapText="1"/>
    </xf>
    <xf numFmtId="164" fontId="5" fillId="3" borderId="0" xfId="1" applyFont="1" applyFill="1" applyBorder="1" applyAlignment="1">
      <alignment horizontal="center" vertical="center" wrapText="1"/>
    </xf>
    <xf numFmtId="166" fontId="9" fillId="5" borderId="2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readingOrder="2"/>
    </xf>
    <xf numFmtId="0" fontId="5" fillId="0" borderId="0" xfId="0" applyFont="1"/>
    <xf numFmtId="0" fontId="6" fillId="0" borderId="1" xfId="0" applyFont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167" fontId="4" fillId="4" borderId="10" xfId="1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67" fontId="10" fillId="0" borderId="5" xfId="1" applyNumberFormat="1" applyFont="1" applyFill="1" applyBorder="1" applyAlignment="1" applyProtection="1">
      <alignment horizontal="center" vertical="center"/>
    </xf>
    <xf numFmtId="167" fontId="10" fillId="5" borderId="0" xfId="1" applyNumberFormat="1" applyFont="1" applyFill="1" applyBorder="1" applyAlignment="1" applyProtection="1">
      <alignment horizontal="center" vertical="center"/>
    </xf>
    <xf numFmtId="167" fontId="10" fillId="0" borderId="0" xfId="1" applyNumberFormat="1" applyFont="1" applyFill="1" applyBorder="1" applyAlignment="1" applyProtection="1">
      <alignment horizontal="center" vertical="center"/>
    </xf>
    <xf numFmtId="167" fontId="10" fillId="5" borderId="0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right" vertical="center" readingOrder="2"/>
    </xf>
    <xf numFmtId="0" fontId="5" fillId="3" borderId="0" xfId="0" applyFont="1" applyFill="1" applyBorder="1" applyAlignment="1">
      <alignment vertical="center" wrapText="1" readingOrder="2"/>
    </xf>
    <xf numFmtId="0" fontId="0" fillId="0" borderId="0" xfId="0" applyFont="1"/>
    <xf numFmtId="167" fontId="5" fillId="4" borderId="0" xfId="1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/>
    </xf>
    <xf numFmtId="166" fontId="9" fillId="5" borderId="2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/>
    </xf>
    <xf numFmtId="167" fontId="4" fillId="4" borderId="1" xfId="1" applyNumberFormat="1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167" fontId="4" fillId="4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right" vertical="center"/>
      <protection locked="0"/>
    </xf>
    <xf numFmtId="14" fontId="8" fillId="0" borderId="7" xfId="0" applyNumberFormat="1" applyFont="1" applyFill="1" applyBorder="1" applyAlignment="1" applyProtection="1">
      <alignment horizontal="center" vertical="center"/>
    </xf>
    <xf numFmtId="14" fontId="8" fillId="0" borderId="8" xfId="0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14" fontId="8" fillId="0" borderId="7" xfId="0" applyNumberFormat="1" applyFont="1" applyFill="1" applyBorder="1" applyAlignment="1" applyProtection="1">
      <alignment horizontal="center"/>
    </xf>
    <xf numFmtId="14" fontId="8" fillId="0" borderId="8" xfId="0" applyNumberFormat="1" applyFont="1" applyFill="1" applyBorder="1" applyAlignment="1" applyProtection="1">
      <alignment horizontal="center"/>
    </xf>
    <xf numFmtId="14" fontId="8" fillId="0" borderId="9" xfId="0" applyNumberFormat="1" applyFont="1" applyFill="1" applyBorder="1" applyAlignment="1" applyProtection="1">
      <alignment horizontal="center"/>
    </xf>
    <xf numFmtId="3" fontId="4" fillId="4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right" vertical="center" readingOrder="2"/>
    </xf>
    <xf numFmtId="0" fontId="11" fillId="0" borderId="0" xfId="0" applyFont="1" applyBorder="1" applyAlignment="1" applyProtection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T16" totalsRowShown="0">
  <tableColumns count="20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U26"/>
  <sheetViews>
    <sheetView rightToLeft="1" topLeftCell="G1" zoomScale="85" zoomScaleNormal="85" workbookViewId="0">
      <selection activeCell="K8" sqref="K8"/>
    </sheetView>
  </sheetViews>
  <sheetFormatPr defaultRowHeight="23.25"/>
  <cols>
    <col min="1" max="1" width="14.7109375" style="2" customWidth="1"/>
    <col min="2" max="2" width="14.85546875" style="4" customWidth="1"/>
    <col min="3" max="6" width="11.85546875" style="3" bestFit="1" customWidth="1"/>
    <col min="7" max="7" width="11.28515625" style="3" customWidth="1"/>
    <col min="8" max="8" width="11.140625" style="3" customWidth="1"/>
    <col min="9" max="9" width="11.28515625" style="3" customWidth="1"/>
    <col min="10" max="18" width="12.140625" style="3" customWidth="1"/>
    <col min="19" max="19" width="13.5703125" style="3" customWidth="1"/>
    <col min="20" max="20" width="14.28515625" style="3" bestFit="1" customWidth="1"/>
    <col min="21" max="16384" width="9.140625" style="2"/>
  </cols>
  <sheetData>
    <row r="3" spans="1:21" s="1" customFormat="1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t="s">
        <v>29</v>
      </c>
      <c r="K3" t="s">
        <v>30</v>
      </c>
      <c r="L3" t="s">
        <v>31</v>
      </c>
      <c r="M3" t="s">
        <v>32</v>
      </c>
      <c r="N3" t="s">
        <v>33</v>
      </c>
      <c r="O3" t="s">
        <v>34</v>
      </c>
      <c r="P3" t="s">
        <v>35</v>
      </c>
      <c r="Q3" t="s">
        <v>36</v>
      </c>
      <c r="R3" t="s">
        <v>37</v>
      </c>
      <c r="S3" t="s">
        <v>38</v>
      </c>
      <c r="T3" t="s">
        <v>39</v>
      </c>
    </row>
    <row r="4" spans="1:21" s="1" customFormat="1">
      <c r="A4" t="s">
        <v>6</v>
      </c>
      <c r="B4"/>
      <c r="C4" t="s">
        <v>5</v>
      </c>
      <c r="D4"/>
      <c r="E4" t="s">
        <v>10</v>
      </c>
      <c r="F4"/>
      <c r="G4" t="s">
        <v>11</v>
      </c>
      <c r="H4"/>
      <c r="I4" t="s">
        <v>12</v>
      </c>
      <c r="J4"/>
      <c r="K4" t="s">
        <v>13</v>
      </c>
      <c r="L4"/>
      <c r="M4" t="s">
        <v>14</v>
      </c>
      <c r="N4"/>
      <c r="O4" t="s">
        <v>15</v>
      </c>
      <c r="P4"/>
      <c r="Q4" t="s">
        <v>16</v>
      </c>
      <c r="R4"/>
      <c r="S4" t="s">
        <v>17</v>
      </c>
      <c r="T4"/>
    </row>
    <row r="5" spans="1:21" ht="44.25" customHeight="1">
      <c r="A5"/>
      <c r="B5"/>
      <c r="C5" t="s">
        <v>1</v>
      </c>
      <c r="D5" t="s">
        <v>2</v>
      </c>
      <c r="E5" t="s">
        <v>1</v>
      </c>
      <c r="F5" t="s">
        <v>2</v>
      </c>
      <c r="G5" t="s">
        <v>1</v>
      </c>
      <c r="H5" t="s">
        <v>2</v>
      </c>
      <c r="I5" t="s">
        <v>1</v>
      </c>
      <c r="J5" t="s">
        <v>2</v>
      </c>
      <c r="K5" t="s">
        <v>1</v>
      </c>
      <c r="L5" t="s">
        <v>2</v>
      </c>
      <c r="M5" t="s">
        <v>1</v>
      </c>
      <c r="N5" t="s">
        <v>2</v>
      </c>
      <c r="O5" t="s">
        <v>1</v>
      </c>
      <c r="P5" t="s">
        <v>2</v>
      </c>
      <c r="Q5" t="s">
        <v>1</v>
      </c>
      <c r="R5" t="s">
        <v>2</v>
      </c>
      <c r="S5" t="s">
        <v>1</v>
      </c>
      <c r="T5" t="s">
        <v>2</v>
      </c>
      <c r="U5" s="5"/>
    </row>
    <row r="6" spans="1:21" ht="21" customHeight="1">
      <c r="A6" t="s">
        <v>18</v>
      </c>
      <c r="B6"/>
      <c r="C6">
        <v>14658116</v>
      </c>
      <c r="D6">
        <v>16502170</v>
      </c>
      <c r="E6">
        <v>3342870</v>
      </c>
      <c r="F6">
        <v>4674827</v>
      </c>
      <c r="G6">
        <v>797487</v>
      </c>
      <c r="H6">
        <v>978781</v>
      </c>
      <c r="I6">
        <v>0</v>
      </c>
      <c r="J6">
        <v>328127</v>
      </c>
      <c r="K6"/>
      <c r="L6">
        <v>4471667</v>
      </c>
      <c r="M6">
        <v>1047668</v>
      </c>
      <c r="N6">
        <v>682133</v>
      </c>
      <c r="O6">
        <v>0</v>
      </c>
      <c r="P6">
        <v>0</v>
      </c>
      <c r="Q6">
        <v>0</v>
      </c>
      <c r="R6">
        <v>0</v>
      </c>
      <c r="S6" s="16">
        <f>C6+E6+G6+I6+K6+M6+O6+Q6</f>
        <v>19846141</v>
      </c>
      <c r="T6">
        <f>D6+F6+H6+J6+L6+N6+P6+R6</f>
        <v>27637705</v>
      </c>
    </row>
    <row r="7" spans="1:21" ht="21" customHeight="1">
      <c r="A7" t="s">
        <v>0</v>
      </c>
      <c r="B7" t="s">
        <v>3</v>
      </c>
      <c r="C7">
        <v>0</v>
      </c>
      <c r="D7">
        <v>0</v>
      </c>
      <c r="E7">
        <v>12344983</v>
      </c>
      <c r="F7">
        <v>0</v>
      </c>
      <c r="G7">
        <v>0</v>
      </c>
      <c r="H7">
        <v>0</v>
      </c>
      <c r="I7">
        <v>0</v>
      </c>
      <c r="J7">
        <v>0</v>
      </c>
      <c r="K7">
        <v>413428</v>
      </c>
      <c r="L7">
        <v>0</v>
      </c>
      <c r="M7">
        <v>0</v>
      </c>
      <c r="N7">
        <v>0</v>
      </c>
      <c r="O7">
        <v>13443898</v>
      </c>
      <c r="P7">
        <v>0</v>
      </c>
      <c r="Q7">
        <v>0</v>
      </c>
      <c r="R7">
        <v>0</v>
      </c>
      <c r="S7">
        <f t="shared" ref="S7:S15" si="0">C7+E7+G7+I7+K7+M7+O7+Q7</f>
        <v>26202309</v>
      </c>
      <c r="T7">
        <f t="shared" ref="T7:T15" si="1">D7+F7+H7+J7+L7+N7+P7+R7</f>
        <v>0</v>
      </c>
    </row>
    <row r="8" spans="1:21" ht="21" customHeight="1">
      <c r="A8"/>
      <c r="B8" t="s">
        <v>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f t="shared" si="0"/>
        <v>0</v>
      </c>
      <c r="T8">
        <f t="shared" si="1"/>
        <v>0</v>
      </c>
    </row>
    <row r="9" spans="1:21" ht="21" customHeight="1">
      <c r="A9" t="s">
        <v>7</v>
      </c>
      <c r="B9" t="s">
        <v>3</v>
      </c>
      <c r="C9">
        <v>0</v>
      </c>
      <c r="D9">
        <v>14408892</v>
      </c>
      <c r="E9">
        <v>0</v>
      </c>
      <c r="F9">
        <v>12016550</v>
      </c>
      <c r="G9">
        <v>0</v>
      </c>
      <c r="H9">
        <v>0</v>
      </c>
      <c r="I9">
        <v>0</v>
      </c>
      <c r="J9">
        <v>18104733</v>
      </c>
      <c r="K9">
        <v>0</v>
      </c>
      <c r="L9">
        <v>5212815</v>
      </c>
      <c r="M9">
        <v>1365453</v>
      </c>
      <c r="N9">
        <v>6864763</v>
      </c>
      <c r="O9">
        <v>0</v>
      </c>
      <c r="P9">
        <v>0</v>
      </c>
      <c r="Q9">
        <v>0</v>
      </c>
      <c r="R9">
        <v>0</v>
      </c>
      <c r="S9">
        <f t="shared" si="0"/>
        <v>1365453</v>
      </c>
      <c r="T9">
        <f t="shared" si="1"/>
        <v>56607753</v>
      </c>
    </row>
    <row r="10" spans="1:21" ht="21" customHeight="1">
      <c r="A10"/>
      <c r="B10" t="s">
        <v>4</v>
      </c>
      <c r="C10">
        <v>0</v>
      </c>
      <c r="D10">
        <v>0</v>
      </c>
      <c r="E10">
        <v>0</v>
      </c>
      <c r="F10">
        <v>0</v>
      </c>
      <c r="G10">
        <v>0</v>
      </c>
      <c r="H10">
        <v>6022116</v>
      </c>
      <c r="I10">
        <v>0</v>
      </c>
      <c r="J10">
        <v>0</v>
      </c>
      <c r="K10">
        <v>0</v>
      </c>
      <c r="L10">
        <v>0</v>
      </c>
      <c r="M10">
        <v>0</v>
      </c>
      <c r="N10">
        <f>1696389+7364</f>
        <v>1703753</v>
      </c>
      <c r="O10">
        <v>0</v>
      </c>
      <c r="P10">
        <v>0</v>
      </c>
      <c r="Q10">
        <v>0</v>
      </c>
      <c r="R10">
        <v>0</v>
      </c>
      <c r="S10">
        <f t="shared" si="0"/>
        <v>0</v>
      </c>
      <c r="T10">
        <f t="shared" si="1"/>
        <v>7725869</v>
      </c>
    </row>
    <row r="11" spans="1:21" ht="21" customHeight="1">
      <c r="A11" t="s">
        <v>8</v>
      </c>
      <c r="B11" t="s">
        <v>3</v>
      </c>
      <c r="C11">
        <v>0</v>
      </c>
      <c r="D11">
        <v>2376330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>705414+287534</f>
        <v>992948</v>
      </c>
      <c r="O11">
        <v>0</v>
      </c>
      <c r="P11">
        <v>0</v>
      </c>
      <c r="Q11">
        <v>0</v>
      </c>
      <c r="R11">
        <v>0</v>
      </c>
      <c r="S11" s="16">
        <f t="shared" si="0"/>
        <v>0</v>
      </c>
      <c r="T11" s="16">
        <f t="shared" si="1"/>
        <v>3369278</v>
      </c>
    </row>
    <row r="12" spans="1:21" ht="21" customHeight="1">
      <c r="A12"/>
      <c r="B12" t="s">
        <v>4</v>
      </c>
      <c r="C12">
        <v>0</v>
      </c>
      <c r="D12">
        <v>6370954</v>
      </c>
      <c r="E12">
        <v>16048025</v>
      </c>
      <c r="F12">
        <v>0</v>
      </c>
      <c r="G12">
        <v>0</v>
      </c>
      <c r="H12">
        <v>670000</v>
      </c>
      <c r="I12">
        <v>0</v>
      </c>
      <c r="J12">
        <v>5294398</v>
      </c>
      <c r="K12">
        <v>0</v>
      </c>
      <c r="L12">
        <v>3534672</v>
      </c>
      <c r="M12">
        <v>0</v>
      </c>
      <c r="N12">
        <f>2026001-N11</f>
        <v>1033053</v>
      </c>
      <c r="O12">
        <v>4200351</v>
      </c>
      <c r="P12">
        <f>2649299</f>
        <v>2649299</v>
      </c>
      <c r="Q12">
        <v>0</v>
      </c>
      <c r="R12">
        <v>2228784</v>
      </c>
      <c r="S12" s="16">
        <f t="shared" si="0"/>
        <v>20248376</v>
      </c>
      <c r="T12" s="16">
        <f t="shared" si="1"/>
        <v>21781160</v>
      </c>
    </row>
    <row r="13" spans="1:21" ht="21" customHeight="1">
      <c r="A13" t="s">
        <v>9</v>
      </c>
      <c r="B13" t="s">
        <v>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384330</v>
      </c>
      <c r="Q13">
        <v>0</v>
      </c>
      <c r="R13">
        <v>2256700</v>
      </c>
      <c r="S13">
        <f t="shared" si="0"/>
        <v>0</v>
      </c>
      <c r="T13">
        <f t="shared" si="1"/>
        <v>2641030</v>
      </c>
    </row>
    <row r="14" spans="1:21" s="1" customFormat="1" ht="38.25" customHeight="1">
      <c r="A14"/>
      <c r="B14" t="s">
        <v>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f t="shared" si="0"/>
        <v>0</v>
      </c>
      <c r="T14">
        <f t="shared" si="1"/>
        <v>0</v>
      </c>
    </row>
    <row r="15" spans="1:21" s="1" customFormat="1" ht="36" customHeight="1">
      <c r="A15" s="6" t="s">
        <v>19</v>
      </c>
      <c r="B15"/>
      <c r="C15">
        <f t="shared" ref="C15:R15" si="2">SUM(C6:C14)</f>
        <v>14658116</v>
      </c>
      <c r="D15">
        <f t="shared" si="2"/>
        <v>39658346</v>
      </c>
      <c r="E15">
        <f t="shared" si="2"/>
        <v>31735878</v>
      </c>
      <c r="F15">
        <f t="shared" si="2"/>
        <v>16691377</v>
      </c>
      <c r="G15">
        <f t="shared" si="2"/>
        <v>797487</v>
      </c>
      <c r="H15">
        <f t="shared" si="2"/>
        <v>7670897</v>
      </c>
      <c r="I15">
        <f t="shared" si="2"/>
        <v>0</v>
      </c>
      <c r="J15">
        <f t="shared" si="2"/>
        <v>23727258</v>
      </c>
      <c r="K15">
        <f t="shared" si="2"/>
        <v>413428</v>
      </c>
      <c r="L15">
        <f t="shared" si="2"/>
        <v>13219154</v>
      </c>
      <c r="M15">
        <f t="shared" si="2"/>
        <v>2413121</v>
      </c>
      <c r="N15">
        <f t="shared" si="2"/>
        <v>11276650</v>
      </c>
      <c r="O15">
        <f t="shared" si="2"/>
        <v>17644249</v>
      </c>
      <c r="P15">
        <f t="shared" si="2"/>
        <v>3033629</v>
      </c>
      <c r="Q15">
        <f t="shared" si="2"/>
        <v>0</v>
      </c>
      <c r="R15">
        <f t="shared" si="2"/>
        <v>4485484</v>
      </c>
      <c r="S15">
        <f t="shared" si="0"/>
        <v>67662279</v>
      </c>
      <c r="T15">
        <f t="shared" si="1"/>
        <v>119762795</v>
      </c>
    </row>
    <row r="16" spans="1:21">
      <c r="A16"/>
      <c r="B16"/>
      <c r="C16">
        <f>C15+D15</f>
        <v>54316462</v>
      </c>
      <c r="D16"/>
      <c r="E16">
        <f>E15+F15</f>
        <v>48427255</v>
      </c>
      <c r="F16"/>
      <c r="G16">
        <f>G15+H15</f>
        <v>8468384</v>
      </c>
      <c r="H16"/>
      <c r="I16">
        <f>I15+J15</f>
        <v>23727258</v>
      </c>
      <c r="J16"/>
      <c r="K16">
        <f>K15+L15</f>
        <v>13632582</v>
      </c>
      <c r="L16"/>
      <c r="M16">
        <f>M15+N15</f>
        <v>13689771</v>
      </c>
      <c r="N16"/>
      <c r="O16">
        <f>O15+P15</f>
        <v>20677878</v>
      </c>
      <c r="P16"/>
      <c r="Q16">
        <f>Q15+R15</f>
        <v>4485484</v>
      </c>
      <c r="R16"/>
      <c r="S16">
        <f>S15+T15</f>
        <v>187425074</v>
      </c>
      <c r="T16"/>
    </row>
    <row r="23" spans="12:16">
      <c r="L23" s="3">
        <f>N9-M9</f>
        <v>5499310</v>
      </c>
    </row>
    <row r="26" spans="12:16">
      <c r="P26" s="3">
        <f>(N9+N10)-M9</f>
        <v>7203063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4"/>
  <sheetViews>
    <sheetView rightToLeft="1" tabSelected="1" view="pageBreakPreview" topLeftCell="A55" zoomScale="60" zoomScaleNormal="55" workbookViewId="0">
      <selection activeCell="H25" sqref="H25:X25"/>
    </sheetView>
  </sheetViews>
  <sheetFormatPr defaultColWidth="11.42578125" defaultRowHeight="19.5" customHeight="1"/>
  <cols>
    <col min="1" max="1" width="10.28515625" customWidth="1"/>
    <col min="2" max="2" width="11.42578125" customWidth="1"/>
    <col min="3" max="3" width="14.42578125" customWidth="1"/>
    <col min="4" max="4" width="14.28515625" bestFit="1" customWidth="1"/>
    <col min="5" max="5" width="21.140625" customWidth="1"/>
    <col min="6" max="6" width="20.7109375" customWidth="1"/>
    <col min="7" max="7" width="24.42578125" customWidth="1"/>
    <col min="8" max="8" width="23.5703125" customWidth="1"/>
    <col min="9" max="9" width="24.140625" customWidth="1"/>
    <col min="10" max="11" width="21.5703125" customWidth="1"/>
    <col min="12" max="14" width="19.85546875" customWidth="1"/>
    <col min="15" max="15" width="21.140625" customWidth="1"/>
    <col min="16" max="16" width="21.28515625" customWidth="1"/>
    <col min="17" max="17" width="13.28515625" bestFit="1" customWidth="1"/>
    <col min="18" max="19" width="14.28515625" bestFit="1" customWidth="1"/>
    <col min="20" max="20" width="12.85546875" bestFit="1" customWidth="1"/>
    <col min="21" max="21" width="13.7109375" bestFit="1" customWidth="1"/>
    <col min="22" max="22" width="13.28515625" bestFit="1" customWidth="1"/>
    <col min="23" max="23" width="15.42578125" customWidth="1"/>
    <col min="24" max="24" width="18.140625" customWidth="1"/>
    <col min="25" max="25" width="12" bestFit="1" customWidth="1"/>
  </cols>
  <sheetData>
    <row r="1" spans="1:24" ht="18.75" customHeight="1">
      <c r="A1" s="101" t="s">
        <v>66</v>
      </c>
      <c r="B1" s="101"/>
      <c r="C1" s="101"/>
      <c r="D1" s="101"/>
      <c r="E1" s="101"/>
      <c r="F1" s="13"/>
      <c r="G1" s="13"/>
      <c r="H1" s="107" t="s">
        <v>71</v>
      </c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5">
      <c r="A2" s="102" t="s">
        <v>41</v>
      </c>
      <c r="B2" s="102"/>
      <c r="C2" s="102"/>
      <c r="D2" s="102"/>
      <c r="E2" s="23"/>
      <c r="F2" s="23"/>
      <c r="G2" s="14"/>
      <c r="H2" s="107" t="s">
        <v>42</v>
      </c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5">
      <c r="A3" s="15"/>
      <c r="B3" s="15"/>
      <c r="C3" s="14"/>
      <c r="D3" s="14"/>
      <c r="E3" s="22"/>
      <c r="F3" s="22"/>
      <c r="G3" s="14"/>
      <c r="H3" s="13"/>
    </row>
    <row r="4" spans="1:24" ht="15.75" thickBot="1">
      <c r="A4" s="103" t="s">
        <v>43</v>
      </c>
      <c r="B4" s="103"/>
      <c r="C4" s="103"/>
      <c r="D4" s="103"/>
      <c r="E4" s="103"/>
      <c r="F4" s="103"/>
      <c r="G4" s="103"/>
      <c r="H4" s="108" t="s">
        <v>44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</row>
    <row r="5" spans="1:24" ht="15">
      <c r="A5" s="109">
        <v>44286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1"/>
    </row>
    <row r="6" spans="1:24" ht="19.5" customHeight="1">
      <c r="A6" s="106" t="s">
        <v>6</v>
      </c>
      <c r="B6" s="106"/>
      <c r="C6" s="99" t="s">
        <v>5</v>
      </c>
      <c r="D6" s="99"/>
      <c r="E6" s="99" t="s">
        <v>45</v>
      </c>
      <c r="F6" s="99"/>
      <c r="G6" s="99" t="s">
        <v>10</v>
      </c>
      <c r="H6" s="99"/>
      <c r="I6" s="99" t="s">
        <v>11</v>
      </c>
      <c r="J6" s="99"/>
      <c r="K6" s="99" t="s">
        <v>12</v>
      </c>
      <c r="L6" s="99"/>
      <c r="M6" s="99" t="s">
        <v>62</v>
      </c>
      <c r="N6" s="99"/>
      <c r="O6" s="99" t="s">
        <v>13</v>
      </c>
      <c r="P6" s="99"/>
      <c r="Q6" s="99" t="s">
        <v>14</v>
      </c>
      <c r="R6" s="99"/>
      <c r="S6" s="99" t="s">
        <v>15</v>
      </c>
      <c r="T6" s="99"/>
      <c r="U6" s="99" t="s">
        <v>16</v>
      </c>
      <c r="V6" s="99"/>
      <c r="W6" s="99" t="s">
        <v>17</v>
      </c>
      <c r="X6" s="99"/>
    </row>
    <row r="7" spans="1:24" ht="19.5" customHeight="1" thickBot="1">
      <c r="A7" s="17"/>
      <c r="B7" s="17"/>
      <c r="C7" s="18" t="s">
        <v>1</v>
      </c>
      <c r="D7" s="18" t="s">
        <v>2</v>
      </c>
      <c r="E7" s="18" t="s">
        <v>1</v>
      </c>
      <c r="F7" s="18" t="s">
        <v>2</v>
      </c>
      <c r="G7" s="18" t="s">
        <v>1</v>
      </c>
      <c r="H7" s="18" t="s">
        <v>2</v>
      </c>
      <c r="I7" s="18" t="s">
        <v>1</v>
      </c>
      <c r="J7" s="18" t="s">
        <v>2</v>
      </c>
      <c r="K7" s="18" t="s">
        <v>1</v>
      </c>
      <c r="L7" s="18" t="s">
        <v>2</v>
      </c>
      <c r="M7" s="18" t="s">
        <v>1</v>
      </c>
      <c r="N7" s="18" t="s">
        <v>2</v>
      </c>
      <c r="O7" s="18" t="s">
        <v>1</v>
      </c>
      <c r="P7" s="18" t="s">
        <v>2</v>
      </c>
      <c r="Q7" s="18" t="s">
        <v>1</v>
      </c>
      <c r="R7" s="18" t="s">
        <v>2</v>
      </c>
      <c r="S7" s="18" t="s">
        <v>1</v>
      </c>
      <c r="T7" s="18" t="s">
        <v>2</v>
      </c>
      <c r="U7" s="18" t="s">
        <v>1</v>
      </c>
      <c r="V7" s="18" t="s">
        <v>2</v>
      </c>
      <c r="W7" s="18" t="s">
        <v>1</v>
      </c>
      <c r="X7" s="18" t="s">
        <v>2</v>
      </c>
    </row>
    <row r="8" spans="1:24" ht="19.5" customHeight="1">
      <c r="A8" s="100" t="s">
        <v>40</v>
      </c>
      <c r="B8" s="7" t="s">
        <v>3</v>
      </c>
      <c r="C8" s="10">
        <v>10553558</v>
      </c>
      <c r="D8" s="10">
        <f>8258197+5463208</f>
        <v>13721405</v>
      </c>
      <c r="E8" s="10">
        <v>0</v>
      </c>
      <c r="F8" s="10">
        <v>0</v>
      </c>
      <c r="G8" s="10">
        <f>2408668</f>
        <v>2408668</v>
      </c>
      <c r="H8" s="10">
        <f>815785+1515385</f>
        <v>2331170</v>
      </c>
      <c r="I8" s="10">
        <v>250000</v>
      </c>
      <c r="J8" s="10">
        <v>871997</v>
      </c>
      <c r="K8" s="10"/>
      <c r="L8" s="10">
        <v>273581</v>
      </c>
      <c r="M8" s="10"/>
      <c r="N8" s="10">
        <v>4713861</v>
      </c>
      <c r="O8" s="10">
        <v>379020</v>
      </c>
      <c r="P8" s="10">
        <f>2104316+456016</f>
        <v>2560332</v>
      </c>
      <c r="Q8" s="10">
        <f>1304083+133384</f>
        <v>1437467</v>
      </c>
      <c r="R8" s="10">
        <f>206238+1978+170591+13995+1478128</f>
        <v>1870930</v>
      </c>
      <c r="S8" s="10"/>
      <c r="T8" s="10"/>
      <c r="U8" s="10">
        <v>1766242</v>
      </c>
      <c r="V8" s="10"/>
      <c r="W8" s="10">
        <f>C8+G8+I8+K8+O8+Q8+S8+U8+E8+M8</f>
        <v>16794955</v>
      </c>
      <c r="X8" s="10">
        <f>D8+H8+J8+L8+P8+R8+T8+V8+F8+N8</f>
        <v>26343276</v>
      </c>
    </row>
    <row r="9" spans="1:24" ht="19.5" customHeight="1">
      <c r="A9" s="96"/>
      <c r="B9" s="7" t="s">
        <v>4</v>
      </c>
      <c r="C9" s="10"/>
      <c r="D9" s="10"/>
      <c r="E9" s="10">
        <v>0</v>
      </c>
      <c r="F9" s="10">
        <v>0</v>
      </c>
      <c r="G9" s="10"/>
      <c r="H9" s="10"/>
      <c r="I9" s="10"/>
      <c r="J9" s="10"/>
      <c r="K9" s="10"/>
      <c r="L9" s="10"/>
      <c r="M9" s="10"/>
      <c r="N9" s="10"/>
      <c r="O9" s="10"/>
      <c r="P9" s="10">
        <v>140447</v>
      </c>
      <c r="Q9" s="10">
        <f>5928+195897+9011+38014.55</f>
        <v>248850.55</v>
      </c>
      <c r="R9" s="10">
        <f>406464+14000+98252</f>
        <v>518716</v>
      </c>
      <c r="S9" s="10"/>
      <c r="T9" s="10"/>
      <c r="U9" s="10"/>
      <c r="V9" s="10"/>
      <c r="W9" s="10">
        <f t="shared" ref="W9:W17" si="0">C9+G9+I9+K9+O9+Q9+S9+U9+E9+M9</f>
        <v>248850.55</v>
      </c>
      <c r="X9" s="10">
        <f>D9+H9+J9+L9+P9+R9+T9+V9+F9+N9</f>
        <v>659163</v>
      </c>
    </row>
    <row r="10" spans="1:24" ht="19.5" customHeight="1">
      <c r="A10" s="95" t="s">
        <v>0</v>
      </c>
      <c r="B10" s="8" t="s">
        <v>3</v>
      </c>
      <c r="C10" s="11"/>
      <c r="D10" s="11"/>
      <c r="E10" s="11">
        <v>0</v>
      </c>
      <c r="F10" s="11">
        <v>0</v>
      </c>
      <c r="G10" s="11">
        <f>20393739</f>
        <v>20393739</v>
      </c>
      <c r="H10" s="11"/>
      <c r="I10" s="11"/>
      <c r="J10" s="11"/>
      <c r="K10" s="11"/>
      <c r="L10" s="11"/>
      <c r="M10" s="11"/>
      <c r="N10" s="11"/>
      <c r="O10" s="11"/>
      <c r="P10" s="11"/>
      <c r="Q10" s="11">
        <v>70210</v>
      </c>
      <c r="R10" s="11"/>
      <c r="S10" s="12"/>
      <c r="T10" s="11"/>
      <c r="U10" s="11"/>
      <c r="V10" s="11"/>
      <c r="W10" s="29">
        <f t="shared" si="0"/>
        <v>20463949</v>
      </c>
      <c r="X10" s="24">
        <f t="shared" ref="X10:X17" si="1">D10+H10+J10+L10+P10+R10+T10+V10+F10+N10</f>
        <v>0</v>
      </c>
    </row>
    <row r="11" spans="1:24" ht="19.5" customHeight="1">
      <c r="A11" s="95"/>
      <c r="B11" s="9" t="s">
        <v>4</v>
      </c>
      <c r="C11" s="12"/>
      <c r="D11" s="12"/>
      <c r="E11" s="12">
        <v>0</v>
      </c>
      <c r="F11" s="12">
        <v>0</v>
      </c>
      <c r="G11" s="12">
        <f>3889987+2193022</f>
        <v>6083009</v>
      </c>
      <c r="H11" s="12">
        <f>500000+6794833</f>
        <v>7294833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29">
        <f t="shared" si="0"/>
        <v>6083009</v>
      </c>
      <c r="X11" s="24">
        <f t="shared" si="1"/>
        <v>7294833</v>
      </c>
    </row>
    <row r="12" spans="1:24" ht="19.5" customHeight="1">
      <c r="A12" s="96" t="s">
        <v>7</v>
      </c>
      <c r="B12" s="7" t="s">
        <v>3</v>
      </c>
      <c r="C12" s="10"/>
      <c r="D12" s="10">
        <v>16673782</v>
      </c>
      <c r="E12" s="10">
        <v>0</v>
      </c>
      <c r="F12" s="10">
        <v>0</v>
      </c>
      <c r="G12" s="10"/>
      <c r="H12" s="10">
        <v>20431339</v>
      </c>
      <c r="I12" s="10"/>
      <c r="J12" s="10">
        <v>13517175</v>
      </c>
      <c r="K12" s="10"/>
      <c r="L12" s="10">
        <v>14393407</v>
      </c>
      <c r="M12" s="10"/>
      <c r="N12" s="10">
        <v>646413</v>
      </c>
      <c r="O12" s="10"/>
      <c r="P12" s="10">
        <v>7907104</v>
      </c>
      <c r="Q12" s="10"/>
      <c r="R12" s="10">
        <v>13941973</v>
      </c>
      <c r="S12" s="10"/>
      <c r="T12" s="10"/>
      <c r="U12" s="10"/>
      <c r="V12" s="10"/>
      <c r="W12" s="10">
        <f t="shared" si="0"/>
        <v>0</v>
      </c>
      <c r="X12" s="10">
        <f t="shared" si="1"/>
        <v>87511193</v>
      </c>
    </row>
    <row r="13" spans="1:24" ht="19.5" customHeight="1">
      <c r="A13" s="96"/>
      <c r="B13" s="7" t="s">
        <v>4</v>
      </c>
      <c r="C13" s="10"/>
      <c r="D13" s="10"/>
      <c r="E13" s="10">
        <v>0</v>
      </c>
      <c r="F13" s="10">
        <v>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v>1367980</v>
      </c>
      <c r="S13" s="10"/>
      <c r="T13" s="10"/>
      <c r="U13" s="10"/>
      <c r="V13" s="10"/>
      <c r="W13" s="10">
        <f t="shared" si="0"/>
        <v>0</v>
      </c>
      <c r="X13" s="10">
        <f t="shared" si="1"/>
        <v>1367980</v>
      </c>
    </row>
    <row r="14" spans="1:24" ht="19.5" customHeight="1">
      <c r="A14" s="95" t="s">
        <v>8</v>
      </c>
      <c r="B14" s="8" t="s">
        <v>3</v>
      </c>
      <c r="C14" s="12"/>
      <c r="D14" s="11"/>
      <c r="E14" s="11">
        <v>0</v>
      </c>
      <c r="F14" s="11">
        <v>0</v>
      </c>
      <c r="G14" s="12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24">
        <f t="shared" si="0"/>
        <v>0</v>
      </c>
      <c r="X14" s="24">
        <f t="shared" si="1"/>
        <v>0</v>
      </c>
    </row>
    <row r="15" spans="1:24" ht="19.5" customHeight="1">
      <c r="A15" s="95"/>
      <c r="B15" s="9" t="s">
        <v>4</v>
      </c>
      <c r="C15" s="12"/>
      <c r="D15" s="11">
        <v>3556697</v>
      </c>
      <c r="E15" s="12">
        <v>0</v>
      </c>
      <c r="F15" s="12">
        <v>0</v>
      </c>
      <c r="G15" s="12"/>
      <c r="H15" s="12">
        <v>3572936</v>
      </c>
      <c r="I15" s="12"/>
      <c r="J15" s="12">
        <f>2061805+2528195</f>
        <v>4590000</v>
      </c>
      <c r="K15" s="12"/>
      <c r="L15" s="12">
        <v>7554102</v>
      </c>
      <c r="M15" s="12"/>
      <c r="N15" s="11">
        <f>2000000+4800000</f>
        <v>6800000</v>
      </c>
      <c r="O15" s="12"/>
      <c r="P15" s="12">
        <v>14443131</v>
      </c>
      <c r="Q15" s="12"/>
      <c r="R15" s="12">
        <f>250000+2894713</f>
        <v>3144713</v>
      </c>
      <c r="S15" s="12"/>
      <c r="T15" s="12">
        <v>4457963</v>
      </c>
      <c r="U15" s="12"/>
      <c r="V15" s="12">
        <v>0</v>
      </c>
      <c r="W15" s="24">
        <f t="shared" si="0"/>
        <v>0</v>
      </c>
      <c r="X15" s="24">
        <f t="shared" si="1"/>
        <v>48119542</v>
      </c>
    </row>
    <row r="16" spans="1:24" ht="19.5" customHeight="1">
      <c r="A16" s="96" t="s">
        <v>9</v>
      </c>
      <c r="B16" s="7" t="s">
        <v>3</v>
      </c>
      <c r="C16" s="10"/>
      <c r="D16" s="10"/>
      <c r="E16" s="10">
        <v>0</v>
      </c>
      <c r="F16" s="10">
        <v>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>
        <v>197545</v>
      </c>
      <c r="S16" s="10"/>
      <c r="T16" s="10">
        <v>340224</v>
      </c>
      <c r="U16" s="10"/>
      <c r="V16" s="10"/>
      <c r="W16" s="10">
        <f t="shared" si="0"/>
        <v>0</v>
      </c>
      <c r="X16" s="10">
        <f t="shared" si="1"/>
        <v>537769</v>
      </c>
    </row>
    <row r="17" spans="1:24" ht="19.5" customHeight="1">
      <c r="A17" s="96"/>
      <c r="B17" s="7" t="s">
        <v>4</v>
      </c>
      <c r="C17" s="10"/>
      <c r="D17" s="10"/>
      <c r="E17" s="10">
        <v>0</v>
      </c>
      <c r="F17" s="10">
        <v>0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>
        <f t="shared" si="0"/>
        <v>0</v>
      </c>
      <c r="X17" s="10">
        <f t="shared" si="1"/>
        <v>0</v>
      </c>
    </row>
    <row r="18" spans="1:24" ht="19.5" customHeight="1">
      <c r="A18" s="97" t="s">
        <v>19</v>
      </c>
      <c r="B18" s="19"/>
      <c r="C18" s="20">
        <f t="shared" ref="C18:J18" si="2">SUM(C8:C17)</f>
        <v>10553558</v>
      </c>
      <c r="D18" s="20">
        <f>SUM(D8:D17)</f>
        <v>33951884</v>
      </c>
      <c r="E18" s="20">
        <f t="shared" si="2"/>
        <v>0</v>
      </c>
      <c r="F18" s="20">
        <f t="shared" si="2"/>
        <v>0</v>
      </c>
      <c r="G18" s="20">
        <f>SUM(G8:G17)</f>
        <v>28885416</v>
      </c>
      <c r="H18" s="20">
        <f>SUM(H8:H17)</f>
        <v>33630278</v>
      </c>
      <c r="I18" s="20">
        <f t="shared" si="2"/>
        <v>250000</v>
      </c>
      <c r="J18" s="20">
        <f t="shared" si="2"/>
        <v>18979172</v>
      </c>
      <c r="K18" s="20">
        <f t="shared" ref="K18:X18" si="3">SUM(K8:K17)</f>
        <v>0</v>
      </c>
      <c r="L18" s="20">
        <f t="shared" si="3"/>
        <v>22221090</v>
      </c>
      <c r="M18" s="20">
        <f t="shared" si="3"/>
        <v>0</v>
      </c>
      <c r="N18" s="20">
        <f t="shared" si="3"/>
        <v>12160274</v>
      </c>
      <c r="O18" s="20">
        <f t="shared" si="3"/>
        <v>379020</v>
      </c>
      <c r="P18" s="20">
        <f t="shared" si="3"/>
        <v>25051014</v>
      </c>
      <c r="Q18" s="20">
        <f t="shared" si="3"/>
        <v>1756527.55</v>
      </c>
      <c r="R18" s="20">
        <f t="shared" si="3"/>
        <v>21041857</v>
      </c>
      <c r="S18" s="20">
        <f t="shared" si="3"/>
        <v>0</v>
      </c>
      <c r="T18" s="20">
        <f t="shared" si="3"/>
        <v>4798187</v>
      </c>
      <c r="U18" s="20">
        <f t="shared" si="3"/>
        <v>1766242</v>
      </c>
      <c r="V18" s="20">
        <f t="shared" si="3"/>
        <v>0</v>
      </c>
      <c r="W18" s="20">
        <f t="shared" si="3"/>
        <v>43590763.549999997</v>
      </c>
      <c r="X18" s="20">
        <f t="shared" si="3"/>
        <v>171833756</v>
      </c>
    </row>
    <row r="19" spans="1:24" ht="19.5" customHeight="1" thickBot="1">
      <c r="A19" s="98"/>
      <c r="B19" s="21"/>
      <c r="C19" s="112">
        <f>C18+D18</f>
        <v>44505442</v>
      </c>
      <c r="D19" s="112"/>
      <c r="E19" s="112">
        <f>E18+F18</f>
        <v>0</v>
      </c>
      <c r="F19" s="112"/>
      <c r="G19" s="112">
        <f>G18+H18</f>
        <v>62515694</v>
      </c>
      <c r="H19" s="112"/>
      <c r="I19" s="112">
        <f>I18+J18</f>
        <v>19229172</v>
      </c>
      <c r="J19" s="112"/>
      <c r="K19" s="112">
        <f>K18+L18</f>
        <v>22221090</v>
      </c>
      <c r="L19" s="112"/>
      <c r="M19" s="112">
        <f>M18+N18</f>
        <v>12160274</v>
      </c>
      <c r="N19" s="112"/>
      <c r="O19" s="112">
        <f>O18+P18</f>
        <v>25430034</v>
      </c>
      <c r="P19" s="112"/>
      <c r="Q19" s="112">
        <f>Q18+R18</f>
        <v>22798384.550000001</v>
      </c>
      <c r="R19" s="112"/>
      <c r="S19" s="112">
        <f>S18+T18</f>
        <v>4798187</v>
      </c>
      <c r="T19" s="112"/>
      <c r="U19" s="113">
        <f>U18+V18</f>
        <v>1766242</v>
      </c>
      <c r="V19" s="113"/>
      <c r="W19" s="113">
        <f>W18+X18</f>
        <v>215424519.55000001</v>
      </c>
      <c r="X19" s="113"/>
    </row>
    <row r="20" spans="1:24" ht="15">
      <c r="A20" s="115" t="s">
        <v>64</v>
      </c>
      <c r="B20" s="115"/>
      <c r="C20" s="115"/>
      <c r="D20" s="115"/>
      <c r="E20" s="115"/>
      <c r="F20" s="13"/>
      <c r="G20" s="13"/>
      <c r="H20" s="116" t="s">
        <v>80</v>
      </c>
      <c r="I20" s="116"/>
      <c r="J20" s="116" t="s">
        <v>63</v>
      </c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</row>
    <row r="21" spans="1:24" ht="15">
      <c r="A21" s="55"/>
      <c r="B21" s="55"/>
      <c r="C21" s="55"/>
      <c r="D21" s="55"/>
      <c r="E21" s="55"/>
      <c r="F21" s="13"/>
      <c r="G21" s="13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 ht="15">
      <c r="A22" s="101" t="s">
        <v>67</v>
      </c>
      <c r="B22" s="101"/>
      <c r="C22" s="101"/>
      <c r="D22" s="101"/>
      <c r="E22" s="101"/>
      <c r="F22" s="13"/>
      <c r="G22" s="13"/>
      <c r="H22" s="107" t="s">
        <v>68</v>
      </c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</row>
    <row r="23" spans="1:24" ht="15">
      <c r="A23" s="102" t="s">
        <v>41</v>
      </c>
      <c r="B23" s="102"/>
      <c r="C23" s="102"/>
      <c r="D23" s="102"/>
      <c r="E23" s="36"/>
      <c r="F23" s="25"/>
      <c r="G23" s="35"/>
      <c r="H23" s="107" t="s">
        <v>42</v>
      </c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</row>
    <row r="24" spans="1:24" ht="15">
      <c r="A24" s="15"/>
      <c r="B24" s="15"/>
      <c r="C24" s="26"/>
      <c r="D24" s="26"/>
      <c r="E24" s="26"/>
      <c r="F24" s="26"/>
      <c r="G24" s="26"/>
      <c r="H24" s="13"/>
    </row>
    <row r="25" spans="1:24" ht="15.75" thickBot="1">
      <c r="A25" s="103" t="s">
        <v>43</v>
      </c>
      <c r="B25" s="103"/>
      <c r="C25" s="103"/>
      <c r="D25" s="103"/>
      <c r="E25" s="103"/>
      <c r="F25" s="103"/>
      <c r="G25" s="103"/>
      <c r="H25" s="108" t="s">
        <v>44</v>
      </c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</row>
    <row r="26" spans="1:24" ht="15">
      <c r="A26" s="109">
        <v>44377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1"/>
    </row>
    <row r="27" spans="1:24" ht="19.5" customHeight="1">
      <c r="A27" s="106" t="s">
        <v>6</v>
      </c>
      <c r="B27" s="106"/>
      <c r="C27" s="99" t="s">
        <v>5</v>
      </c>
      <c r="D27" s="99"/>
      <c r="E27" s="99" t="s">
        <v>45</v>
      </c>
      <c r="F27" s="99"/>
      <c r="G27" s="99" t="s">
        <v>10</v>
      </c>
      <c r="H27" s="99"/>
      <c r="I27" s="99" t="s">
        <v>11</v>
      </c>
      <c r="J27" s="99"/>
      <c r="K27" s="99" t="s">
        <v>12</v>
      </c>
      <c r="L27" s="99"/>
      <c r="M27" s="99" t="s">
        <v>62</v>
      </c>
      <c r="N27" s="99"/>
      <c r="O27" s="99" t="s">
        <v>13</v>
      </c>
      <c r="P27" s="99"/>
      <c r="Q27" s="99" t="s">
        <v>14</v>
      </c>
      <c r="R27" s="99"/>
      <c r="S27" s="99" t="s">
        <v>15</v>
      </c>
      <c r="T27" s="99"/>
      <c r="U27" s="99" t="s">
        <v>16</v>
      </c>
      <c r="V27" s="99"/>
      <c r="W27" s="99" t="s">
        <v>17</v>
      </c>
      <c r="X27" s="99"/>
    </row>
    <row r="28" spans="1:24" ht="19.5" customHeight="1" thickBot="1">
      <c r="A28" s="17"/>
      <c r="B28" s="17"/>
      <c r="C28" s="18" t="s">
        <v>1</v>
      </c>
      <c r="D28" s="18" t="s">
        <v>2</v>
      </c>
      <c r="E28" s="18" t="s">
        <v>1</v>
      </c>
      <c r="F28" s="18" t="s">
        <v>2</v>
      </c>
      <c r="G28" s="18" t="s">
        <v>1</v>
      </c>
      <c r="H28" s="18" t="s">
        <v>2</v>
      </c>
      <c r="I28" s="18" t="s">
        <v>1</v>
      </c>
      <c r="J28" s="18" t="s">
        <v>2</v>
      </c>
      <c r="K28" s="18" t="s">
        <v>1</v>
      </c>
      <c r="L28" s="18" t="s">
        <v>2</v>
      </c>
      <c r="M28" s="18" t="s">
        <v>1</v>
      </c>
      <c r="N28" s="18" t="s">
        <v>2</v>
      </c>
      <c r="O28" s="18" t="s">
        <v>1</v>
      </c>
      <c r="P28" s="18" t="s">
        <v>2</v>
      </c>
      <c r="Q28" s="18" t="s">
        <v>1</v>
      </c>
      <c r="R28" s="18" t="s">
        <v>2</v>
      </c>
      <c r="S28" s="18" t="s">
        <v>1</v>
      </c>
      <c r="T28" s="18" t="s">
        <v>2</v>
      </c>
      <c r="U28" s="18" t="s">
        <v>1</v>
      </c>
      <c r="V28" s="18" t="s">
        <v>2</v>
      </c>
      <c r="W28" s="18" t="s">
        <v>1</v>
      </c>
      <c r="X28" s="18" t="s">
        <v>2</v>
      </c>
    </row>
    <row r="29" spans="1:24" ht="19.5" customHeight="1">
      <c r="A29" s="100" t="s">
        <v>40</v>
      </c>
      <c r="B29" s="27" t="s">
        <v>3</v>
      </c>
      <c r="C29" s="42">
        <f>6341357+3040732</f>
        <v>9382089</v>
      </c>
      <c r="D29" s="42">
        <f>14092346-323</f>
        <v>14092023</v>
      </c>
      <c r="E29" s="60">
        <v>0</v>
      </c>
      <c r="F29" s="60">
        <v>0</v>
      </c>
      <c r="G29" s="42"/>
      <c r="H29" s="42">
        <f>3315012+1524356</f>
        <v>4839368</v>
      </c>
      <c r="I29" s="42"/>
      <c r="J29" s="42">
        <v>250000</v>
      </c>
      <c r="K29" s="42"/>
      <c r="L29" s="42">
        <v>271555</v>
      </c>
      <c r="M29" s="42"/>
      <c r="N29" s="42">
        <v>7910206</v>
      </c>
      <c r="O29" s="42">
        <v>491137</v>
      </c>
      <c r="P29" s="42">
        <f>2700275+456016</f>
        <v>3156291</v>
      </c>
      <c r="Q29" s="42">
        <v>1633365.6431593795</v>
      </c>
      <c r="R29" s="42">
        <v>2879043.1800000006</v>
      </c>
      <c r="S29" s="42"/>
      <c r="T29" s="42"/>
      <c r="U29" s="42">
        <v>2276394</v>
      </c>
      <c r="V29" s="42"/>
      <c r="W29" s="42">
        <f>C29+G29+I29+K29+O29+Q29+S29+U29+E29+M29</f>
        <v>13782985.64315938</v>
      </c>
      <c r="X29" s="42">
        <f>D29+H29+J29+L29+P29+R29+T29+V29+F29+N29</f>
        <v>33398486.18</v>
      </c>
    </row>
    <row r="30" spans="1:24" ht="19.5" customHeight="1">
      <c r="A30" s="96"/>
      <c r="B30" s="27" t="s">
        <v>4</v>
      </c>
      <c r="C30" s="42"/>
      <c r="D30" s="42"/>
      <c r="E30" s="60">
        <v>0</v>
      </c>
      <c r="F30" s="60">
        <v>0</v>
      </c>
      <c r="G30" s="42">
        <f>1662656</f>
        <v>1662656</v>
      </c>
      <c r="H30" s="42">
        <f>6651100-G30</f>
        <v>4988444</v>
      </c>
      <c r="I30" s="42">
        <f>322452-178065</f>
        <v>144387</v>
      </c>
      <c r="J30" s="42">
        <f>4195+607743+91055+213264+74885+452-178065</f>
        <v>813529</v>
      </c>
      <c r="K30" s="42"/>
      <c r="L30" s="42"/>
      <c r="M30" s="42"/>
      <c r="N30" s="42"/>
      <c r="O30" s="42"/>
      <c r="P30" s="42">
        <v>184337</v>
      </c>
      <c r="Q30" s="42">
        <v>110708.92524682652</v>
      </c>
      <c r="R30" s="42">
        <v>1361163.9211001412</v>
      </c>
      <c r="S30" s="42"/>
      <c r="T30" s="42"/>
      <c r="U30" s="42"/>
      <c r="V30" s="42"/>
      <c r="W30" s="42">
        <f t="shared" ref="W30:W38" si="4">C30+G30+I30+K30+O30+Q30+S30+U30+E30+M30</f>
        <v>1917751.9252468266</v>
      </c>
      <c r="X30" s="42">
        <f t="shared" ref="X30:X38" si="5">D30+H30+J30+L30+P30+R30+T30+V30+F30+N30</f>
        <v>7347473.9211001415</v>
      </c>
    </row>
    <row r="31" spans="1:24" ht="19.5" customHeight="1">
      <c r="A31" s="95" t="s">
        <v>0</v>
      </c>
      <c r="B31" s="8" t="s">
        <v>3</v>
      </c>
      <c r="C31" s="43"/>
      <c r="D31" s="43"/>
      <c r="E31" s="61">
        <v>0</v>
      </c>
      <c r="F31" s="61">
        <v>0</v>
      </c>
      <c r="G31" s="43">
        <v>19954279</v>
      </c>
      <c r="H31" s="43"/>
      <c r="I31" s="43"/>
      <c r="J31" s="43"/>
      <c r="K31" s="43"/>
      <c r="L31" s="43"/>
      <c r="M31" s="43"/>
      <c r="N31" s="43"/>
      <c r="O31" s="43"/>
      <c r="P31" s="43"/>
      <c r="Q31" s="43">
        <v>70612</v>
      </c>
      <c r="R31" s="43"/>
      <c r="S31" s="43">
        <v>3442629</v>
      </c>
      <c r="T31" s="43"/>
      <c r="U31" s="43"/>
      <c r="V31" s="43"/>
      <c r="W31" s="43">
        <f t="shared" si="4"/>
        <v>23467520</v>
      </c>
      <c r="X31" s="43">
        <f t="shared" si="5"/>
        <v>0</v>
      </c>
    </row>
    <row r="32" spans="1:24" ht="19.5" customHeight="1">
      <c r="A32" s="95"/>
      <c r="B32" s="9" t="s">
        <v>4</v>
      </c>
      <c r="C32" s="44"/>
      <c r="D32" s="44"/>
      <c r="E32" s="62">
        <v>0</v>
      </c>
      <c r="F32" s="62">
        <v>0</v>
      </c>
      <c r="G32" s="44">
        <v>3499578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>
        <f t="shared" si="4"/>
        <v>3499578</v>
      </c>
      <c r="X32" s="44">
        <f t="shared" si="5"/>
        <v>0</v>
      </c>
    </row>
    <row r="33" spans="1:24" ht="19.5" customHeight="1">
      <c r="A33" s="96" t="s">
        <v>7</v>
      </c>
      <c r="B33" s="27" t="s">
        <v>3</v>
      </c>
      <c r="C33" s="42"/>
      <c r="D33" s="42">
        <v>16673782</v>
      </c>
      <c r="E33" s="60">
        <v>0</v>
      </c>
      <c r="F33" s="60">
        <v>0</v>
      </c>
      <c r="G33" s="42"/>
      <c r="H33" s="42">
        <v>20724451</v>
      </c>
      <c r="I33" s="42"/>
      <c r="J33" s="42">
        <v>13517175</v>
      </c>
      <c r="K33" s="42"/>
      <c r="L33" s="42">
        <v>14746620</v>
      </c>
      <c r="M33" s="42"/>
      <c r="N33" s="42">
        <v>2397000</v>
      </c>
      <c r="O33" s="42"/>
      <c r="P33" s="42">
        <v>7904104</v>
      </c>
      <c r="Q33" s="42"/>
      <c r="R33" s="42">
        <v>13769070</v>
      </c>
      <c r="S33" s="42"/>
      <c r="T33" s="42"/>
      <c r="U33" s="42"/>
      <c r="V33" s="42"/>
      <c r="W33" s="42">
        <f>C33+G33+I33+K33+O33+Q33+S33+U33+E33+M33</f>
        <v>0</v>
      </c>
      <c r="X33" s="42">
        <f t="shared" si="5"/>
        <v>89732202</v>
      </c>
    </row>
    <row r="34" spans="1:24" ht="19.5" customHeight="1">
      <c r="A34" s="96"/>
      <c r="B34" s="27" t="s">
        <v>4</v>
      </c>
      <c r="C34" s="42"/>
      <c r="D34" s="42"/>
      <c r="E34" s="60">
        <v>0</v>
      </c>
      <c r="F34" s="60">
        <v>0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>
        <f t="shared" si="4"/>
        <v>0</v>
      </c>
      <c r="X34" s="42">
        <f t="shared" si="5"/>
        <v>0</v>
      </c>
    </row>
    <row r="35" spans="1:24" ht="19.5" customHeight="1">
      <c r="A35" s="95" t="s">
        <v>8</v>
      </c>
      <c r="B35" s="8" t="s">
        <v>3</v>
      </c>
      <c r="C35" s="44"/>
      <c r="D35" s="43"/>
      <c r="E35" s="61">
        <v>0</v>
      </c>
      <c r="F35" s="61">
        <v>0</v>
      </c>
      <c r="G35" s="53"/>
      <c r="H35" s="54"/>
      <c r="I35" s="43"/>
      <c r="J35" s="43"/>
      <c r="K35" s="43"/>
      <c r="L35" s="43"/>
      <c r="M35" s="43"/>
      <c r="N35" s="43">
        <v>2000000</v>
      </c>
      <c r="O35" s="43"/>
      <c r="P35" s="43"/>
      <c r="Q35" s="43"/>
      <c r="R35" s="43"/>
      <c r="S35" s="43"/>
      <c r="T35" s="43"/>
      <c r="U35" s="43"/>
      <c r="V35" s="43"/>
      <c r="W35" s="43">
        <f t="shared" si="4"/>
        <v>0</v>
      </c>
      <c r="X35" s="43">
        <f t="shared" si="5"/>
        <v>2000000</v>
      </c>
    </row>
    <row r="36" spans="1:24" ht="19.5" customHeight="1">
      <c r="A36" s="95"/>
      <c r="B36" s="9" t="s">
        <v>4</v>
      </c>
      <c r="C36" s="44"/>
      <c r="D36" s="44">
        <v>3529226</v>
      </c>
      <c r="E36" s="62">
        <v>0</v>
      </c>
      <c r="F36" s="62">
        <v>0</v>
      </c>
      <c r="G36" s="43"/>
      <c r="H36" s="43">
        <f>400000+3245136</f>
        <v>3645136</v>
      </c>
      <c r="I36" s="44"/>
      <c r="J36" s="44">
        <f>2528196+1161805</f>
        <v>3690001</v>
      </c>
      <c r="K36" s="44"/>
      <c r="L36" s="44">
        <f>4929753+1957800</f>
        <v>6887553</v>
      </c>
      <c r="M36" s="44"/>
      <c r="N36" s="43">
        <v>2000000</v>
      </c>
      <c r="O36" s="44"/>
      <c r="P36" s="44">
        <v>15506559</v>
      </c>
      <c r="Q36" s="44"/>
      <c r="R36" s="44"/>
      <c r="S36" s="44"/>
      <c r="T36" s="44">
        <f>4041562+500000</f>
        <v>4541562</v>
      </c>
      <c r="U36" s="44"/>
      <c r="V36" s="44"/>
      <c r="W36" s="44">
        <f t="shared" si="4"/>
        <v>0</v>
      </c>
      <c r="X36" s="44">
        <f t="shared" si="5"/>
        <v>39800037</v>
      </c>
    </row>
    <row r="37" spans="1:24" ht="19.5" customHeight="1">
      <c r="A37" s="96" t="s">
        <v>9</v>
      </c>
      <c r="B37" s="27" t="s">
        <v>3</v>
      </c>
      <c r="C37" s="42"/>
      <c r="D37" s="42"/>
      <c r="E37" s="60">
        <v>0</v>
      </c>
      <c r="F37" s="60">
        <v>0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>
        <v>343604</v>
      </c>
      <c r="U37" s="42"/>
      <c r="V37" s="42"/>
      <c r="W37" s="42">
        <f t="shared" si="4"/>
        <v>0</v>
      </c>
      <c r="X37" s="42">
        <f t="shared" si="5"/>
        <v>343604</v>
      </c>
    </row>
    <row r="38" spans="1:24" ht="19.5" customHeight="1">
      <c r="A38" s="96"/>
      <c r="B38" s="27" t="s">
        <v>4</v>
      </c>
      <c r="C38" s="42"/>
      <c r="D38" s="42"/>
      <c r="E38" s="60">
        <v>0</v>
      </c>
      <c r="F38" s="60">
        <v>0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>
        <f t="shared" si="4"/>
        <v>0</v>
      </c>
      <c r="X38" s="42">
        <f t="shared" si="5"/>
        <v>0</v>
      </c>
    </row>
    <row r="39" spans="1:24" ht="19.5" customHeight="1">
      <c r="A39" s="97" t="s">
        <v>19</v>
      </c>
      <c r="B39" s="28"/>
      <c r="C39" s="45">
        <f t="shared" ref="C39:J39" si="6">SUM(C29:C38)</f>
        <v>9382089</v>
      </c>
      <c r="D39" s="45">
        <f t="shared" si="6"/>
        <v>34295031</v>
      </c>
      <c r="E39" s="63">
        <f t="shared" si="6"/>
        <v>0</v>
      </c>
      <c r="F39" s="63">
        <f t="shared" si="6"/>
        <v>0</v>
      </c>
      <c r="G39" s="45">
        <f t="shared" si="6"/>
        <v>25116513</v>
      </c>
      <c r="H39" s="45">
        <f t="shared" si="6"/>
        <v>34197399</v>
      </c>
      <c r="I39" s="45">
        <f t="shared" si="6"/>
        <v>144387</v>
      </c>
      <c r="J39" s="45">
        <f t="shared" si="6"/>
        <v>18270705</v>
      </c>
      <c r="K39" s="45">
        <f t="shared" ref="K39:V39" si="7">SUM(K29:K38)</f>
        <v>0</v>
      </c>
      <c r="L39" s="45">
        <f t="shared" si="7"/>
        <v>21905728</v>
      </c>
      <c r="M39" s="45">
        <f t="shared" si="7"/>
        <v>0</v>
      </c>
      <c r="N39" s="45">
        <f t="shared" si="7"/>
        <v>14307206</v>
      </c>
      <c r="O39" s="45">
        <f t="shared" si="7"/>
        <v>491137</v>
      </c>
      <c r="P39" s="45">
        <f t="shared" si="7"/>
        <v>26751291</v>
      </c>
      <c r="Q39" s="45">
        <f t="shared" si="7"/>
        <v>1814686.5684062061</v>
      </c>
      <c r="R39" s="45">
        <f t="shared" si="7"/>
        <v>18009277.101100143</v>
      </c>
      <c r="S39" s="45">
        <f t="shared" si="7"/>
        <v>3442629</v>
      </c>
      <c r="T39" s="45">
        <f t="shared" si="7"/>
        <v>4885166</v>
      </c>
      <c r="U39" s="45">
        <f t="shared" si="7"/>
        <v>2276394</v>
      </c>
      <c r="V39" s="45">
        <f t="shared" si="7"/>
        <v>0</v>
      </c>
      <c r="W39" s="45">
        <f>C39+G39+I39+K39+O39+Q39+S39+U39+E39+M39</f>
        <v>42667835.568406209</v>
      </c>
      <c r="X39" s="45">
        <f>D39+H39+J39+L39+P39+R39+T39+V39+F39+N39</f>
        <v>172621803.10110015</v>
      </c>
    </row>
    <row r="40" spans="1:24" ht="19.5" customHeight="1" thickBot="1">
      <c r="A40" s="98"/>
      <c r="B40" s="21"/>
      <c r="C40" s="94">
        <f>C39+D39</f>
        <v>43677120</v>
      </c>
      <c r="D40" s="94"/>
      <c r="E40" s="94">
        <f>E39+F39</f>
        <v>0</v>
      </c>
      <c r="F40" s="94"/>
      <c r="G40" s="94">
        <f>G39+H39</f>
        <v>59313912</v>
      </c>
      <c r="H40" s="94"/>
      <c r="I40" s="94">
        <f>I39+J39</f>
        <v>18415092</v>
      </c>
      <c r="J40" s="94"/>
      <c r="K40" s="94">
        <f>K39+L39</f>
        <v>21905728</v>
      </c>
      <c r="L40" s="94"/>
      <c r="M40" s="94">
        <f>M39+N39</f>
        <v>14307206</v>
      </c>
      <c r="N40" s="94"/>
      <c r="O40" s="94">
        <f>O39+P39</f>
        <v>27242428</v>
      </c>
      <c r="P40" s="94"/>
      <c r="Q40" s="94">
        <f>Q39+R39</f>
        <v>19823963.669506349</v>
      </c>
      <c r="R40" s="94"/>
      <c r="S40" s="94">
        <f>S39+T39</f>
        <v>8327795</v>
      </c>
      <c r="T40" s="94"/>
      <c r="U40" s="91">
        <f>U39+V39</f>
        <v>2276394</v>
      </c>
      <c r="V40" s="91"/>
      <c r="W40" s="91">
        <f>W39+X39</f>
        <v>215289638.66950637</v>
      </c>
      <c r="X40" s="91"/>
    </row>
    <row r="41" spans="1:24" ht="19.5" customHeight="1">
      <c r="A41" s="70" t="s">
        <v>64</v>
      </c>
      <c r="C41" s="33"/>
      <c r="V41" s="32"/>
      <c r="W41" s="34"/>
      <c r="X41" s="71" t="s">
        <v>80</v>
      </c>
    </row>
    <row r="42" spans="1:24" ht="19.5" customHeight="1">
      <c r="C42" s="33"/>
      <c r="V42" s="32"/>
      <c r="W42" s="34"/>
    </row>
    <row r="43" spans="1:24" ht="15">
      <c r="A43" s="101" t="s">
        <v>69</v>
      </c>
      <c r="B43" s="101"/>
      <c r="C43" s="101"/>
      <c r="D43" s="101"/>
      <c r="E43" s="101"/>
      <c r="F43" s="13"/>
      <c r="G43" s="13"/>
      <c r="H43" s="107" t="s">
        <v>70</v>
      </c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</row>
    <row r="44" spans="1:24" ht="15">
      <c r="A44" s="102" t="s">
        <v>41</v>
      </c>
      <c r="B44" s="102"/>
      <c r="C44" s="102"/>
      <c r="D44" s="102"/>
      <c r="E44" s="36"/>
      <c r="F44" s="48"/>
      <c r="G44" s="35"/>
      <c r="H44" s="107" t="s">
        <v>42</v>
      </c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</row>
    <row r="45" spans="1:24" ht="15">
      <c r="A45" s="15"/>
      <c r="B45" s="15"/>
      <c r="C45" s="47"/>
      <c r="D45" s="47"/>
      <c r="E45" s="47"/>
      <c r="F45" s="47"/>
      <c r="G45" s="47"/>
      <c r="H45" s="13"/>
    </row>
    <row r="46" spans="1:24" ht="15.75" thickBot="1">
      <c r="A46" s="103" t="s">
        <v>43</v>
      </c>
      <c r="B46" s="103"/>
      <c r="C46" s="103"/>
      <c r="D46" s="103"/>
      <c r="E46" s="103"/>
      <c r="F46" s="103"/>
      <c r="G46" s="103"/>
      <c r="H46" s="108" t="s">
        <v>44</v>
      </c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</row>
    <row r="47" spans="1:24" ht="15">
      <c r="A47" s="109">
        <v>44469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1"/>
    </row>
    <row r="48" spans="1:24" ht="19.5" customHeight="1">
      <c r="A48" s="106" t="s">
        <v>6</v>
      </c>
      <c r="B48" s="106"/>
      <c r="C48" s="99" t="s">
        <v>5</v>
      </c>
      <c r="D48" s="99"/>
      <c r="E48" s="99" t="s">
        <v>45</v>
      </c>
      <c r="F48" s="99"/>
      <c r="G48" s="99" t="s">
        <v>10</v>
      </c>
      <c r="H48" s="99"/>
      <c r="I48" s="99" t="s">
        <v>11</v>
      </c>
      <c r="J48" s="99"/>
      <c r="K48" s="99" t="s">
        <v>12</v>
      </c>
      <c r="L48" s="99"/>
      <c r="M48" s="99" t="s">
        <v>62</v>
      </c>
      <c r="N48" s="99"/>
      <c r="O48" s="99" t="s">
        <v>13</v>
      </c>
      <c r="P48" s="99"/>
      <c r="Q48" s="99" t="s">
        <v>14</v>
      </c>
      <c r="R48" s="99"/>
      <c r="S48" s="99" t="s">
        <v>15</v>
      </c>
      <c r="T48" s="99"/>
      <c r="U48" s="99" t="s">
        <v>16</v>
      </c>
      <c r="V48" s="99"/>
      <c r="W48" s="99" t="s">
        <v>17</v>
      </c>
      <c r="X48" s="99"/>
    </row>
    <row r="49" spans="1:26" ht="19.5" customHeight="1" thickBot="1">
      <c r="A49" s="17"/>
      <c r="B49" s="17"/>
      <c r="C49" s="18" t="s">
        <v>1</v>
      </c>
      <c r="D49" s="18" t="s">
        <v>2</v>
      </c>
      <c r="E49" s="18" t="s">
        <v>1</v>
      </c>
      <c r="F49" s="18" t="s">
        <v>2</v>
      </c>
      <c r="G49" s="18" t="s">
        <v>1</v>
      </c>
      <c r="H49" s="18" t="s">
        <v>2</v>
      </c>
      <c r="I49" s="18" t="s">
        <v>1</v>
      </c>
      <c r="J49" s="18" t="s">
        <v>2</v>
      </c>
      <c r="K49" s="18" t="s">
        <v>1</v>
      </c>
      <c r="L49" s="18" t="s">
        <v>2</v>
      </c>
      <c r="M49" s="18" t="s">
        <v>1</v>
      </c>
      <c r="N49" s="18" t="s">
        <v>2</v>
      </c>
      <c r="O49" s="18" t="s">
        <v>1</v>
      </c>
      <c r="P49" s="18" t="s">
        <v>2</v>
      </c>
      <c r="Q49" s="18" t="s">
        <v>1</v>
      </c>
      <c r="R49" s="18" t="s">
        <v>2</v>
      </c>
      <c r="S49" s="18" t="s">
        <v>1</v>
      </c>
      <c r="T49" s="18" t="s">
        <v>2</v>
      </c>
      <c r="U49" s="18" t="s">
        <v>1</v>
      </c>
      <c r="V49" s="18" t="s">
        <v>2</v>
      </c>
      <c r="W49" s="18" t="s">
        <v>1</v>
      </c>
      <c r="X49" s="18" t="s">
        <v>2</v>
      </c>
    </row>
    <row r="50" spans="1:26" ht="19.5" customHeight="1">
      <c r="A50" s="100" t="s">
        <v>40</v>
      </c>
      <c r="B50" s="49" t="s">
        <v>3</v>
      </c>
      <c r="C50" s="42">
        <v>9444232</v>
      </c>
      <c r="D50" s="42">
        <v>14197567</v>
      </c>
      <c r="E50" s="42">
        <v>0</v>
      </c>
      <c r="F50" s="42">
        <v>0</v>
      </c>
      <c r="G50" s="42">
        <f>2511957-430790</f>
        <v>2081167</v>
      </c>
      <c r="H50" s="42">
        <f>430790+807725+1523929</f>
        <v>2762444</v>
      </c>
      <c r="I50" s="42">
        <v>0</v>
      </c>
      <c r="J50" s="42">
        <v>250000</v>
      </c>
      <c r="K50" s="42">
        <v>0</v>
      </c>
      <c r="L50" s="42">
        <v>306270</v>
      </c>
      <c r="M50" s="42">
        <v>0</v>
      </c>
      <c r="N50" s="42">
        <v>8699778</v>
      </c>
      <c r="O50" s="42">
        <f>470879</f>
        <v>470879</v>
      </c>
      <c r="P50" s="42">
        <f>2962479+456016</f>
        <v>3418495</v>
      </c>
      <c r="Q50" s="42">
        <f>1713798+70612</f>
        <v>1784410</v>
      </c>
      <c r="R50" s="42">
        <v>2883733</v>
      </c>
      <c r="S50" s="42">
        <v>0</v>
      </c>
      <c r="T50" s="42">
        <v>0</v>
      </c>
      <c r="U50" s="42">
        <v>2122062</v>
      </c>
      <c r="V50" s="42">
        <v>0</v>
      </c>
      <c r="W50" s="42">
        <f>C50+G50+I50+K50+O50+Q50+S50+U50+E50+M50</f>
        <v>15902750</v>
      </c>
      <c r="X50" s="42">
        <f>D50+H50+J50+L50+P50+R50+T50+V50+F50+N50</f>
        <v>32518287</v>
      </c>
    </row>
    <row r="51" spans="1:26" ht="19.5" customHeight="1">
      <c r="A51" s="96"/>
      <c r="B51" s="49" t="s">
        <v>4</v>
      </c>
      <c r="C51" s="42">
        <v>0</v>
      </c>
      <c r="D51" s="42">
        <v>0</v>
      </c>
      <c r="E51" s="42">
        <v>0</v>
      </c>
      <c r="F51" s="42">
        <v>0</v>
      </c>
      <c r="G51" s="42">
        <f>461266+1215760</f>
        <v>1677026</v>
      </c>
      <c r="H51" s="42">
        <f>6532577</f>
        <v>6532577</v>
      </c>
      <c r="I51" s="42">
        <f>1247942-206186</f>
        <v>1041756</v>
      </c>
      <c r="J51" s="42">
        <v>206186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208915</v>
      </c>
      <c r="Q51" s="42">
        <v>0</v>
      </c>
      <c r="R51" s="42">
        <v>2202677</v>
      </c>
      <c r="S51" s="42">
        <v>0</v>
      </c>
      <c r="T51" s="42">
        <v>0</v>
      </c>
      <c r="U51" s="42">
        <v>0</v>
      </c>
      <c r="V51" s="42">
        <v>0</v>
      </c>
      <c r="W51" s="42">
        <f t="shared" ref="W51:W59" si="8">C51+G51+I51+K51+O51+Q51+S51+U51+E51+M51</f>
        <v>2718782</v>
      </c>
      <c r="X51" s="42">
        <f t="shared" ref="X51:X60" si="9">D51+H51+J51+L51+P51+R51+T51+V51+F51+N51</f>
        <v>9150355</v>
      </c>
    </row>
    <row r="52" spans="1:26" ht="19.5" customHeight="1">
      <c r="A52" s="95" t="s">
        <v>0</v>
      </c>
      <c r="B52" s="8" t="s">
        <v>3</v>
      </c>
      <c r="C52" s="43">
        <v>0</v>
      </c>
      <c r="D52" s="43">
        <v>0</v>
      </c>
      <c r="E52" s="43">
        <v>0</v>
      </c>
      <c r="F52" s="43">
        <v>0</v>
      </c>
      <c r="G52" s="43">
        <v>21005307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3462226</v>
      </c>
      <c r="T52" s="43">
        <v>0</v>
      </c>
      <c r="U52" s="43">
        <v>0</v>
      </c>
      <c r="V52" s="43">
        <v>0</v>
      </c>
      <c r="W52" s="43">
        <f t="shared" si="8"/>
        <v>24467533</v>
      </c>
      <c r="X52" s="43">
        <f t="shared" si="9"/>
        <v>0</v>
      </c>
    </row>
    <row r="53" spans="1:26" ht="19.5" customHeight="1">
      <c r="A53" s="95"/>
      <c r="B53" s="9" t="s">
        <v>4</v>
      </c>
      <c r="C53" s="44">
        <v>0</v>
      </c>
      <c r="D53" s="44">
        <v>0</v>
      </c>
      <c r="E53" s="44">
        <v>0</v>
      </c>
      <c r="F53" s="44">
        <v>0</v>
      </c>
      <c r="G53" s="44">
        <v>2954004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f t="shared" si="8"/>
        <v>2954004</v>
      </c>
      <c r="X53" s="44">
        <f t="shared" si="9"/>
        <v>0</v>
      </c>
    </row>
    <row r="54" spans="1:26" ht="19.5" customHeight="1">
      <c r="A54" s="96" t="s">
        <v>7</v>
      </c>
      <c r="B54" s="49" t="s">
        <v>3</v>
      </c>
      <c r="C54" s="42">
        <v>0</v>
      </c>
      <c r="D54" s="42">
        <v>16673782</v>
      </c>
      <c r="E54" s="42">
        <v>0</v>
      </c>
      <c r="F54" s="42">
        <v>0</v>
      </c>
      <c r="G54" s="42">
        <v>0</v>
      </c>
      <c r="H54" s="42">
        <v>20760164</v>
      </c>
      <c r="I54" s="42">
        <v>0</v>
      </c>
      <c r="J54" s="42">
        <v>13517176</v>
      </c>
      <c r="K54" s="42">
        <v>0</v>
      </c>
      <c r="L54" s="42">
        <v>15070180</v>
      </c>
      <c r="M54" s="42">
        <v>0</v>
      </c>
      <c r="N54" s="42">
        <v>0</v>
      </c>
      <c r="O54" s="42">
        <v>0</v>
      </c>
      <c r="P54" s="42">
        <v>7907104</v>
      </c>
      <c r="Q54" s="42">
        <v>0</v>
      </c>
      <c r="R54" s="42">
        <v>12944537</v>
      </c>
      <c r="S54" s="42">
        <v>0</v>
      </c>
      <c r="T54" s="42">
        <v>0</v>
      </c>
      <c r="U54" s="42">
        <v>0</v>
      </c>
      <c r="V54" s="42">
        <v>0</v>
      </c>
      <c r="W54" s="42">
        <f t="shared" si="8"/>
        <v>0</v>
      </c>
      <c r="X54" s="42">
        <f t="shared" si="9"/>
        <v>86872943</v>
      </c>
    </row>
    <row r="55" spans="1:26" ht="19.5" customHeight="1">
      <c r="A55" s="96"/>
      <c r="B55" s="49" t="s">
        <v>4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3357241</v>
      </c>
      <c r="S55" s="42">
        <v>0</v>
      </c>
      <c r="T55" s="42">
        <v>0</v>
      </c>
      <c r="U55" s="42">
        <v>0</v>
      </c>
      <c r="V55" s="42">
        <v>0</v>
      </c>
      <c r="W55" s="42">
        <f t="shared" si="8"/>
        <v>0</v>
      </c>
      <c r="X55" s="42">
        <f t="shared" si="9"/>
        <v>3357241</v>
      </c>
    </row>
    <row r="56" spans="1:26" ht="19.5" customHeight="1">
      <c r="A56" s="95" t="s">
        <v>8</v>
      </c>
      <c r="B56" s="8" t="s">
        <v>3</v>
      </c>
      <c r="C56" s="44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2528195</v>
      </c>
      <c r="K56" s="43">
        <v>0</v>
      </c>
      <c r="L56" s="43">
        <v>1957800</v>
      </c>
      <c r="M56" s="43">
        <v>0</v>
      </c>
      <c r="N56" s="43">
        <v>2000000</v>
      </c>
      <c r="O56" s="43">
        <v>0</v>
      </c>
      <c r="P56" s="43">
        <v>3098087</v>
      </c>
      <c r="Q56" s="43">
        <v>0</v>
      </c>
      <c r="R56" s="43">
        <v>250000</v>
      </c>
      <c r="S56" s="43">
        <v>0</v>
      </c>
      <c r="T56" s="43">
        <v>525000</v>
      </c>
      <c r="U56" s="43">
        <v>0</v>
      </c>
      <c r="V56" s="43">
        <v>0</v>
      </c>
      <c r="W56" s="43">
        <f t="shared" si="8"/>
        <v>0</v>
      </c>
      <c r="X56" s="43">
        <f t="shared" si="9"/>
        <v>10359082</v>
      </c>
    </row>
    <row r="57" spans="1:26" ht="19.5" customHeight="1">
      <c r="A57" s="95"/>
      <c r="B57" s="9" t="s">
        <v>4</v>
      </c>
      <c r="C57" s="44">
        <v>0</v>
      </c>
      <c r="D57" s="44">
        <v>3531651</v>
      </c>
      <c r="E57" s="44">
        <v>0</v>
      </c>
      <c r="F57" s="44">
        <v>0</v>
      </c>
      <c r="G57" s="43">
        <v>0</v>
      </c>
      <c r="H57" s="43">
        <v>3679611</v>
      </c>
      <c r="I57" s="44">
        <v>0</v>
      </c>
      <c r="J57" s="44">
        <v>1461805</v>
      </c>
      <c r="K57" s="44">
        <v>0</v>
      </c>
      <c r="L57" s="44">
        <f>5159837+4615531-1957800</f>
        <v>7817568</v>
      </c>
      <c r="M57" s="44">
        <v>0</v>
      </c>
      <c r="N57" s="43">
        <v>2500000</v>
      </c>
      <c r="O57" s="44">
        <v>0</v>
      </c>
      <c r="P57" s="44">
        <f>15703635-3098087</f>
        <v>12605548</v>
      </c>
      <c r="Q57" s="44">
        <v>0</v>
      </c>
      <c r="R57" s="44">
        <v>2933587</v>
      </c>
      <c r="S57" s="44">
        <v>0</v>
      </c>
      <c r="T57" s="44">
        <v>4015505</v>
      </c>
      <c r="U57" s="44">
        <v>0</v>
      </c>
      <c r="V57" s="44">
        <v>0</v>
      </c>
      <c r="W57" s="44">
        <f t="shared" si="8"/>
        <v>0</v>
      </c>
      <c r="X57" s="44">
        <f t="shared" si="9"/>
        <v>38545275</v>
      </c>
      <c r="Y57" s="52"/>
      <c r="Z57" s="52"/>
    </row>
    <row r="58" spans="1:26" ht="19.5" customHeight="1">
      <c r="A58" s="96" t="s">
        <v>9</v>
      </c>
      <c r="B58" s="49" t="s">
        <v>3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329082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338090</v>
      </c>
      <c r="T58" s="42">
        <v>0</v>
      </c>
      <c r="U58" s="42">
        <v>0</v>
      </c>
      <c r="V58" s="42">
        <v>0</v>
      </c>
      <c r="W58" s="42">
        <f t="shared" si="8"/>
        <v>338090</v>
      </c>
      <c r="X58" s="42">
        <f t="shared" si="9"/>
        <v>329082</v>
      </c>
    </row>
    <row r="59" spans="1:26" ht="19.5" customHeight="1">
      <c r="A59" s="96"/>
      <c r="B59" s="49" t="s">
        <v>4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f t="shared" si="8"/>
        <v>0</v>
      </c>
      <c r="X59" s="42">
        <f>D59+H59+J59+L59+P59+R59+T59+V59+F59+N59</f>
        <v>0</v>
      </c>
    </row>
    <row r="60" spans="1:26" ht="19.5" customHeight="1">
      <c r="A60" s="97" t="s">
        <v>19</v>
      </c>
      <c r="B60" s="50"/>
      <c r="C60" s="45">
        <f t="shared" ref="C60:J60" si="10">SUM(C50:C59)</f>
        <v>9444232</v>
      </c>
      <c r="D60" s="45">
        <f t="shared" si="10"/>
        <v>34403000</v>
      </c>
      <c r="E60" s="45">
        <f t="shared" si="10"/>
        <v>0</v>
      </c>
      <c r="F60" s="45">
        <f t="shared" si="10"/>
        <v>0</v>
      </c>
      <c r="G60" s="45">
        <f t="shared" si="10"/>
        <v>27717504</v>
      </c>
      <c r="H60" s="45">
        <f t="shared" si="10"/>
        <v>34063878</v>
      </c>
      <c r="I60" s="45">
        <f t="shared" si="10"/>
        <v>1041756</v>
      </c>
      <c r="J60" s="45">
        <f t="shared" si="10"/>
        <v>17963362</v>
      </c>
      <c r="K60" s="45">
        <f t="shared" ref="K60:V60" si="11">SUM(K50:K59)</f>
        <v>0</v>
      </c>
      <c r="L60" s="45">
        <f t="shared" si="11"/>
        <v>25151818</v>
      </c>
      <c r="M60" s="45">
        <f t="shared" si="11"/>
        <v>0</v>
      </c>
      <c r="N60" s="45">
        <f t="shared" si="11"/>
        <v>13199778</v>
      </c>
      <c r="O60" s="45">
        <f t="shared" si="11"/>
        <v>470879</v>
      </c>
      <c r="P60" s="45">
        <f t="shared" si="11"/>
        <v>27238149</v>
      </c>
      <c r="Q60" s="45">
        <f t="shared" si="11"/>
        <v>1784410</v>
      </c>
      <c r="R60" s="45">
        <f t="shared" si="11"/>
        <v>24571775</v>
      </c>
      <c r="S60" s="45">
        <f t="shared" si="11"/>
        <v>3800316</v>
      </c>
      <c r="T60" s="45">
        <f t="shared" si="11"/>
        <v>4540505</v>
      </c>
      <c r="U60" s="45">
        <f t="shared" si="11"/>
        <v>2122062</v>
      </c>
      <c r="V60" s="45">
        <f t="shared" si="11"/>
        <v>0</v>
      </c>
      <c r="W60" s="45">
        <f>C60+G60+I60+K60+O60+Q60+S60+U60+E60+M60</f>
        <v>46381159</v>
      </c>
      <c r="X60" s="45">
        <f t="shared" si="9"/>
        <v>181132265</v>
      </c>
    </row>
    <row r="61" spans="1:26" ht="19.5" customHeight="1" thickBot="1">
      <c r="A61" s="98"/>
      <c r="B61" s="21"/>
      <c r="C61" s="94">
        <f>C60+D60</f>
        <v>43847232</v>
      </c>
      <c r="D61" s="94"/>
      <c r="E61" s="94">
        <f>E60+F60</f>
        <v>0</v>
      </c>
      <c r="F61" s="94"/>
      <c r="G61" s="94">
        <f>G60+H60</f>
        <v>61781382</v>
      </c>
      <c r="H61" s="94"/>
      <c r="I61" s="94">
        <f>I60+J60</f>
        <v>19005118</v>
      </c>
      <c r="J61" s="94"/>
      <c r="K61" s="94">
        <f>K60+L60</f>
        <v>25151818</v>
      </c>
      <c r="L61" s="94"/>
      <c r="M61" s="94">
        <f>M60+N60</f>
        <v>13199778</v>
      </c>
      <c r="N61" s="94"/>
      <c r="O61" s="94">
        <f>O60+P60</f>
        <v>27709028</v>
      </c>
      <c r="P61" s="94"/>
      <c r="Q61" s="94">
        <f>Q60+R60</f>
        <v>26356185</v>
      </c>
      <c r="R61" s="94"/>
      <c r="S61" s="94">
        <f>S60+T60</f>
        <v>8340821</v>
      </c>
      <c r="T61" s="94"/>
      <c r="U61" s="91">
        <f>U60+V60</f>
        <v>2122062</v>
      </c>
      <c r="V61" s="91"/>
      <c r="W61" s="91">
        <f>W60+X60</f>
        <v>227513424</v>
      </c>
      <c r="X61" s="91"/>
    </row>
    <row r="62" spans="1:26" ht="19.5" customHeight="1">
      <c r="A62" s="70" t="s">
        <v>64</v>
      </c>
      <c r="O62" s="37"/>
      <c r="P62" s="38"/>
      <c r="Q62" s="38"/>
      <c r="R62" s="38"/>
      <c r="X62" s="114" t="s">
        <v>80</v>
      </c>
    </row>
    <row r="63" spans="1:26" ht="19.5" customHeight="1">
      <c r="A63" s="70"/>
      <c r="O63" s="37"/>
      <c r="P63" s="38"/>
      <c r="Q63" s="38"/>
      <c r="R63" s="38"/>
      <c r="X63" s="71"/>
    </row>
    <row r="64" spans="1:26" ht="19.5" customHeight="1">
      <c r="A64" s="101" t="s">
        <v>74</v>
      </c>
      <c r="B64" s="101"/>
      <c r="C64" s="101"/>
      <c r="D64" s="101"/>
      <c r="E64" s="101"/>
      <c r="F64" s="13"/>
      <c r="G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 t="s">
        <v>75</v>
      </c>
    </row>
    <row r="65" spans="1:24" ht="19.5" customHeight="1">
      <c r="A65" s="102" t="s">
        <v>41</v>
      </c>
      <c r="B65" s="102"/>
      <c r="C65" s="102"/>
      <c r="D65" s="102"/>
      <c r="E65" s="36"/>
      <c r="F65" s="67"/>
      <c r="G65" s="35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 t="s">
        <v>42</v>
      </c>
    </row>
    <row r="66" spans="1:24" ht="19.5" customHeight="1">
      <c r="A66" s="15"/>
      <c r="B66" s="15"/>
      <c r="C66" s="68"/>
      <c r="D66" s="68"/>
      <c r="E66" s="68"/>
      <c r="F66" s="68"/>
      <c r="G66" s="68"/>
      <c r="H66" s="13"/>
      <c r="P66" s="34"/>
      <c r="R66" s="52"/>
      <c r="T66" s="33"/>
    </row>
    <row r="67" spans="1:24" ht="19.5" customHeight="1" thickBot="1">
      <c r="A67" s="103" t="s">
        <v>76</v>
      </c>
      <c r="B67" s="103"/>
      <c r="C67" s="103"/>
      <c r="D67" s="103"/>
      <c r="E67" s="103"/>
      <c r="F67" s="103"/>
      <c r="G67" s="103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 t="s">
        <v>44</v>
      </c>
    </row>
    <row r="68" spans="1:24" ht="19.5" customHeight="1">
      <c r="A68" s="104" t="s">
        <v>77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</row>
    <row r="69" spans="1:24" ht="19.5" customHeight="1">
      <c r="A69" s="106" t="s">
        <v>6</v>
      </c>
      <c r="B69" s="106"/>
      <c r="C69" s="99" t="s">
        <v>5</v>
      </c>
      <c r="D69" s="99"/>
      <c r="E69" s="99" t="s">
        <v>45</v>
      </c>
      <c r="F69" s="99"/>
      <c r="G69" s="99" t="s">
        <v>10</v>
      </c>
      <c r="H69" s="99"/>
      <c r="I69" s="99" t="s">
        <v>11</v>
      </c>
      <c r="J69" s="99"/>
      <c r="K69" s="99" t="s">
        <v>12</v>
      </c>
      <c r="L69" s="99"/>
      <c r="M69" s="99" t="s">
        <v>62</v>
      </c>
      <c r="N69" s="99"/>
      <c r="O69" s="99" t="s">
        <v>13</v>
      </c>
      <c r="P69" s="99"/>
      <c r="Q69" s="99" t="s">
        <v>14</v>
      </c>
      <c r="R69" s="99"/>
      <c r="S69" s="99" t="s">
        <v>15</v>
      </c>
      <c r="T69" s="99"/>
      <c r="U69" s="99" t="s">
        <v>16</v>
      </c>
      <c r="V69" s="99"/>
      <c r="W69" s="99" t="s">
        <v>17</v>
      </c>
      <c r="X69" s="99"/>
    </row>
    <row r="70" spans="1:24" ht="19.5" customHeight="1" thickBot="1">
      <c r="A70" s="17"/>
      <c r="B70" s="17"/>
      <c r="C70" s="18" t="s">
        <v>1</v>
      </c>
      <c r="D70" s="18" t="s">
        <v>2</v>
      </c>
      <c r="E70" s="18" t="s">
        <v>1</v>
      </c>
      <c r="F70" s="18" t="s">
        <v>2</v>
      </c>
      <c r="G70" s="18" t="s">
        <v>1</v>
      </c>
      <c r="H70" s="18" t="s">
        <v>2</v>
      </c>
      <c r="I70" s="18" t="s">
        <v>1</v>
      </c>
      <c r="J70" s="18" t="s">
        <v>2</v>
      </c>
      <c r="K70" s="18" t="s">
        <v>1</v>
      </c>
      <c r="L70" s="18" t="s">
        <v>2</v>
      </c>
      <c r="M70" s="18" t="s">
        <v>1</v>
      </c>
      <c r="N70" s="18" t="s">
        <v>2</v>
      </c>
      <c r="O70" s="18" t="s">
        <v>1</v>
      </c>
      <c r="P70" s="18" t="s">
        <v>2</v>
      </c>
      <c r="Q70" s="18" t="s">
        <v>1</v>
      </c>
      <c r="R70" s="18" t="s">
        <v>2</v>
      </c>
      <c r="S70" s="18" t="s">
        <v>1</v>
      </c>
      <c r="T70" s="18" t="s">
        <v>2</v>
      </c>
      <c r="U70" s="18" t="s">
        <v>1</v>
      </c>
      <c r="V70" s="18" t="s">
        <v>2</v>
      </c>
      <c r="W70" s="18" t="s">
        <v>1</v>
      </c>
      <c r="X70" s="18" t="s">
        <v>2</v>
      </c>
    </row>
    <row r="71" spans="1:24" ht="19.5" customHeight="1">
      <c r="A71" s="100" t="s">
        <v>40</v>
      </c>
      <c r="B71" s="65" t="s">
        <v>3</v>
      </c>
      <c r="C71" s="42">
        <v>8993769.2336034998</v>
      </c>
      <c r="D71" s="42">
        <v>14318335.626124963</v>
      </c>
      <c r="E71" s="42">
        <v>0</v>
      </c>
      <c r="F71" s="42">
        <v>0</v>
      </c>
      <c r="G71" s="42">
        <v>2511957</v>
      </c>
      <c r="H71" s="42">
        <f>1533812.54902254+824495</f>
        <v>2358307.54902254</v>
      </c>
      <c r="I71" s="42">
        <v>250000</v>
      </c>
      <c r="J71" s="42">
        <v>0</v>
      </c>
      <c r="K71" s="42">
        <v>0</v>
      </c>
      <c r="L71" s="42">
        <v>308982</v>
      </c>
      <c r="M71" s="42">
        <v>0</v>
      </c>
      <c r="N71" s="42">
        <v>9981610</v>
      </c>
      <c r="O71" s="42">
        <v>967350</v>
      </c>
      <c r="P71" s="42">
        <v>3649438</v>
      </c>
      <c r="Q71" s="42">
        <v>1738984.5528913962</v>
      </c>
      <c r="R71" s="42">
        <v>3229327.5570380813</v>
      </c>
      <c r="S71" s="42">
        <v>0</v>
      </c>
      <c r="T71" s="42">
        <v>0</v>
      </c>
      <c r="U71" s="42">
        <v>2096340</v>
      </c>
      <c r="V71" s="42">
        <v>0</v>
      </c>
      <c r="W71" s="42">
        <f t="shared" ref="W71:X81" si="12">C71+G71+I71+K71+O71+Q71+S71+U71+E71+M71</f>
        <v>16558400.786494896</v>
      </c>
      <c r="X71" s="42">
        <f t="shared" si="12"/>
        <v>33846000.732185587</v>
      </c>
    </row>
    <row r="72" spans="1:24" ht="19.5" customHeight="1">
      <c r="A72" s="96"/>
      <c r="B72" s="65" t="s">
        <v>4</v>
      </c>
      <c r="C72" s="42">
        <v>0</v>
      </c>
      <c r="D72" s="42">
        <v>0</v>
      </c>
      <c r="E72" s="42">
        <v>0</v>
      </c>
      <c r="F72" s="42">
        <v>0</v>
      </c>
      <c r="G72" s="42">
        <v>180445</v>
      </c>
      <c r="H72" s="42">
        <v>8723269</v>
      </c>
      <c r="I72" s="42">
        <v>78297</v>
      </c>
      <c r="J72" s="42">
        <v>1309676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219449</v>
      </c>
      <c r="Q72" s="42">
        <v>0</v>
      </c>
      <c r="R72" s="42">
        <v>2162118.8900705227</v>
      </c>
      <c r="S72" s="42">
        <v>0</v>
      </c>
      <c r="T72" s="42">
        <v>0</v>
      </c>
      <c r="U72" s="42">
        <v>0</v>
      </c>
      <c r="V72" s="42">
        <v>0</v>
      </c>
      <c r="W72" s="42">
        <f t="shared" si="12"/>
        <v>258742</v>
      </c>
      <c r="X72" s="42">
        <f t="shared" si="12"/>
        <v>12414512.890070522</v>
      </c>
    </row>
    <row r="73" spans="1:24" ht="19.5" customHeight="1">
      <c r="A73" s="95" t="s">
        <v>0</v>
      </c>
      <c r="B73" s="8" t="s">
        <v>3</v>
      </c>
      <c r="C73" s="43">
        <v>0</v>
      </c>
      <c r="D73" s="43">
        <v>0</v>
      </c>
      <c r="E73" s="43">
        <v>0</v>
      </c>
      <c r="F73" s="43">
        <v>0</v>
      </c>
      <c r="G73" s="43">
        <v>19869493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1666016</v>
      </c>
      <c r="T73" s="43">
        <v>0</v>
      </c>
      <c r="U73" s="43">
        <v>0</v>
      </c>
      <c r="V73" s="43">
        <v>0</v>
      </c>
      <c r="W73" s="43">
        <f t="shared" si="12"/>
        <v>21535509</v>
      </c>
      <c r="X73" s="43">
        <f t="shared" si="12"/>
        <v>0</v>
      </c>
    </row>
    <row r="74" spans="1:24" ht="19.5" customHeight="1">
      <c r="A74" s="95"/>
      <c r="B74" s="9" t="s">
        <v>4</v>
      </c>
      <c r="C74" s="44">
        <v>0</v>
      </c>
      <c r="D74" s="44">
        <v>0</v>
      </c>
      <c r="E74" s="44">
        <v>0</v>
      </c>
      <c r="F74" s="44">
        <v>0</v>
      </c>
      <c r="G74" s="44">
        <f>1209129+2141156</f>
        <v>3350285</v>
      </c>
      <c r="H74" s="44">
        <v>0</v>
      </c>
      <c r="I74" s="43">
        <v>0</v>
      </c>
      <c r="J74" s="43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70612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f t="shared" si="12"/>
        <v>3420897</v>
      </c>
      <c r="X74" s="44">
        <f t="shared" si="12"/>
        <v>0</v>
      </c>
    </row>
    <row r="75" spans="1:24" ht="19.5" customHeight="1">
      <c r="A75" s="96" t="s">
        <v>7</v>
      </c>
      <c r="B75" s="65" t="s">
        <v>3</v>
      </c>
      <c r="C75" s="42">
        <v>0</v>
      </c>
      <c r="D75" s="42">
        <v>16961570</v>
      </c>
      <c r="E75" s="42">
        <v>0</v>
      </c>
      <c r="F75" s="42">
        <v>0</v>
      </c>
      <c r="G75" s="42">
        <v>0</v>
      </c>
      <c r="H75" s="42">
        <v>21667954</v>
      </c>
      <c r="I75" s="42">
        <v>0</v>
      </c>
      <c r="J75" s="42">
        <v>16464848</v>
      </c>
      <c r="K75" s="42">
        <v>0</v>
      </c>
      <c r="L75" s="42">
        <v>14554457</v>
      </c>
      <c r="M75" s="42">
        <v>0</v>
      </c>
      <c r="N75" s="42">
        <v>310200</v>
      </c>
      <c r="O75" s="42">
        <v>0</v>
      </c>
      <c r="P75" s="42">
        <v>7907104</v>
      </c>
      <c r="Q75" s="42">
        <v>0</v>
      </c>
      <c r="R75" s="42">
        <v>12188917</v>
      </c>
      <c r="S75" s="42">
        <v>0</v>
      </c>
      <c r="T75" s="42">
        <v>0</v>
      </c>
      <c r="U75" s="42">
        <v>0</v>
      </c>
      <c r="V75" s="42">
        <v>0</v>
      </c>
      <c r="W75" s="42">
        <f t="shared" si="12"/>
        <v>0</v>
      </c>
      <c r="X75" s="42">
        <f t="shared" si="12"/>
        <v>90055050</v>
      </c>
    </row>
    <row r="76" spans="1:24" ht="19.5" customHeight="1">
      <c r="A76" s="96"/>
      <c r="B76" s="65" t="s">
        <v>4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2595601</v>
      </c>
      <c r="S76" s="42">
        <v>0</v>
      </c>
      <c r="T76" s="42">
        <v>0</v>
      </c>
      <c r="U76" s="42">
        <v>0</v>
      </c>
      <c r="V76" s="42">
        <v>0</v>
      </c>
      <c r="W76" s="42">
        <f t="shared" si="12"/>
        <v>0</v>
      </c>
      <c r="X76" s="42">
        <f t="shared" si="12"/>
        <v>2595601</v>
      </c>
    </row>
    <row r="77" spans="1:24" ht="19.5" customHeight="1">
      <c r="A77" s="95" t="s">
        <v>8</v>
      </c>
      <c r="B77" s="8" t="s">
        <v>3</v>
      </c>
      <c r="C77" s="44">
        <v>0</v>
      </c>
      <c r="D77" s="43">
        <v>4041602</v>
      </c>
      <c r="E77" s="43">
        <v>0</v>
      </c>
      <c r="F77" s="43">
        <v>0</v>
      </c>
      <c r="G77" s="43">
        <v>0</v>
      </c>
      <c r="H77" s="43">
        <v>3710051</v>
      </c>
      <c r="I77" s="43">
        <v>0</v>
      </c>
      <c r="J77" s="43">
        <v>2528195</v>
      </c>
      <c r="K77" s="43">
        <v>0</v>
      </c>
      <c r="L77" s="43">
        <v>1957800</v>
      </c>
      <c r="M77" s="43">
        <v>0</v>
      </c>
      <c r="N77" s="43">
        <v>2000000</v>
      </c>
      <c r="O77" s="43">
        <v>0</v>
      </c>
      <c r="P77" s="43">
        <v>11311795</v>
      </c>
      <c r="Q77" s="43">
        <v>0</v>
      </c>
      <c r="R77" s="43">
        <f>250000+1522508</f>
        <v>1772508</v>
      </c>
      <c r="S77" s="43">
        <v>0</v>
      </c>
      <c r="T77" s="43">
        <v>525000</v>
      </c>
      <c r="U77" s="43">
        <v>0</v>
      </c>
      <c r="V77" s="43">
        <v>1248817</v>
      </c>
      <c r="W77" s="43">
        <f t="shared" si="12"/>
        <v>0</v>
      </c>
      <c r="X77" s="43">
        <f t="shared" si="12"/>
        <v>29095768</v>
      </c>
    </row>
    <row r="78" spans="1:24" ht="19.5" customHeight="1">
      <c r="A78" s="95"/>
      <c r="B78" s="9" t="s">
        <v>4</v>
      </c>
      <c r="C78" s="44">
        <v>0</v>
      </c>
      <c r="D78" s="44">
        <v>6411835</v>
      </c>
      <c r="E78" s="44">
        <v>0</v>
      </c>
      <c r="F78" s="44">
        <v>0</v>
      </c>
      <c r="G78" s="43">
        <v>1887974</v>
      </c>
      <c r="H78" s="43">
        <f>11083433</f>
        <v>11083433</v>
      </c>
      <c r="I78" s="44">
        <v>0</v>
      </c>
      <c r="J78" s="44">
        <v>1461805</v>
      </c>
      <c r="K78" s="44">
        <v>0</v>
      </c>
      <c r="L78" s="44">
        <v>5997195</v>
      </c>
      <c r="M78" s="44">
        <v>0</v>
      </c>
      <c r="N78" s="43">
        <v>3000000</v>
      </c>
      <c r="O78" s="44">
        <v>0</v>
      </c>
      <c r="P78" s="44">
        <v>5041845</v>
      </c>
      <c r="Q78" s="44">
        <v>0</v>
      </c>
      <c r="R78" s="44">
        <v>2960259</v>
      </c>
      <c r="S78" s="44">
        <v>0</v>
      </c>
      <c r="T78" s="44">
        <v>4052318</v>
      </c>
      <c r="U78" s="44">
        <v>0</v>
      </c>
      <c r="V78" s="44">
        <v>0</v>
      </c>
      <c r="W78" s="44">
        <f t="shared" si="12"/>
        <v>1887974</v>
      </c>
      <c r="X78" s="44">
        <f t="shared" si="12"/>
        <v>40008690</v>
      </c>
    </row>
    <row r="79" spans="1:24" ht="19.5" customHeight="1">
      <c r="A79" s="96" t="s">
        <v>9</v>
      </c>
      <c r="B79" s="65" t="s">
        <v>3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338716</v>
      </c>
      <c r="U79" s="42">
        <v>0</v>
      </c>
      <c r="V79" s="42">
        <v>0</v>
      </c>
      <c r="W79" s="42">
        <f t="shared" si="12"/>
        <v>0</v>
      </c>
      <c r="X79" s="42">
        <f t="shared" si="12"/>
        <v>338716</v>
      </c>
    </row>
    <row r="80" spans="1:24" ht="19.5" customHeight="1">
      <c r="A80" s="96"/>
      <c r="B80" s="65" t="s">
        <v>4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f t="shared" si="12"/>
        <v>0</v>
      </c>
      <c r="X80" s="42">
        <f t="shared" si="12"/>
        <v>0</v>
      </c>
    </row>
    <row r="81" spans="1:25" ht="19.5" customHeight="1">
      <c r="A81" s="97" t="s">
        <v>19</v>
      </c>
      <c r="B81" s="66"/>
      <c r="C81" s="45">
        <f t="shared" ref="C81:O81" si="13">C71+C72+C73+C74+C75+C76+C77+C78+C79+C80</f>
        <v>8993769.2336034998</v>
      </c>
      <c r="D81" s="45">
        <f t="shared" si="13"/>
        <v>41733342.626124963</v>
      </c>
      <c r="E81" s="45">
        <f t="shared" si="13"/>
        <v>0</v>
      </c>
      <c r="F81" s="45">
        <f t="shared" si="13"/>
        <v>0</v>
      </c>
      <c r="G81" s="45">
        <f t="shared" si="13"/>
        <v>27800154</v>
      </c>
      <c r="H81" s="45">
        <f t="shared" si="13"/>
        <v>47543014.54902254</v>
      </c>
      <c r="I81" s="45">
        <f t="shared" si="13"/>
        <v>328297</v>
      </c>
      <c r="J81" s="45">
        <f t="shared" si="13"/>
        <v>21764524</v>
      </c>
      <c r="K81" s="45">
        <f t="shared" si="13"/>
        <v>0</v>
      </c>
      <c r="L81" s="45">
        <f t="shared" si="13"/>
        <v>22818434</v>
      </c>
      <c r="M81" s="45">
        <f t="shared" si="13"/>
        <v>0</v>
      </c>
      <c r="N81" s="45">
        <f t="shared" si="13"/>
        <v>15291810</v>
      </c>
      <c r="O81" s="45">
        <f t="shared" si="13"/>
        <v>967350</v>
      </c>
      <c r="P81" s="45">
        <f>P71+P72+P73+P74+P75+P76+P77+P78+P79+P80</f>
        <v>28129631</v>
      </c>
      <c r="Q81" s="45">
        <f t="shared" ref="Q81:V81" si="14">Q71+Q72+Q73+Q74+Q75+Q76+Q77+Q78+Q79+Q80</f>
        <v>1809596.5528913962</v>
      </c>
      <c r="R81" s="45">
        <f t="shared" si="14"/>
        <v>24908731.447108604</v>
      </c>
      <c r="S81" s="45">
        <f t="shared" si="14"/>
        <v>1666016</v>
      </c>
      <c r="T81" s="45">
        <f t="shared" si="14"/>
        <v>4916034</v>
      </c>
      <c r="U81" s="45">
        <f t="shared" si="14"/>
        <v>2096340</v>
      </c>
      <c r="V81" s="45">
        <f t="shared" si="14"/>
        <v>1248817</v>
      </c>
      <c r="W81" s="45">
        <f t="shared" si="12"/>
        <v>43661522.786494896</v>
      </c>
      <c r="X81" s="45">
        <f t="shared" si="12"/>
        <v>208354338.6222561</v>
      </c>
    </row>
    <row r="82" spans="1:25" ht="19.5" customHeight="1" thickBot="1">
      <c r="A82" s="98"/>
      <c r="B82" s="21"/>
      <c r="C82" s="94">
        <f>C81+D81</f>
        <v>50727111.859728463</v>
      </c>
      <c r="D82" s="94"/>
      <c r="E82" s="94">
        <f>E81+F81</f>
        <v>0</v>
      </c>
      <c r="F82" s="94"/>
      <c r="G82" s="94">
        <f>G81+H81</f>
        <v>75343168.54902254</v>
      </c>
      <c r="H82" s="94"/>
      <c r="I82" s="94">
        <f>I81+J81</f>
        <v>22092821</v>
      </c>
      <c r="J82" s="94"/>
      <c r="K82" s="94">
        <f>K81+L81</f>
        <v>22818434</v>
      </c>
      <c r="L82" s="94"/>
      <c r="M82" s="94">
        <f>M81+N81</f>
        <v>15291810</v>
      </c>
      <c r="N82" s="94"/>
      <c r="O82" s="94">
        <f>O81+P81</f>
        <v>29096981</v>
      </c>
      <c r="P82" s="94"/>
      <c r="Q82" s="94">
        <f>Q81+R81</f>
        <v>26718328</v>
      </c>
      <c r="R82" s="94"/>
      <c r="S82" s="94">
        <f>S81+T81</f>
        <v>6582050</v>
      </c>
      <c r="T82" s="94"/>
      <c r="U82" s="91">
        <f>U81+V81</f>
        <v>3345157</v>
      </c>
      <c r="V82" s="91"/>
      <c r="W82" s="91">
        <f>W81+X81</f>
        <v>252015861.40875101</v>
      </c>
      <c r="X82" s="91"/>
    </row>
    <row r="83" spans="1:25" ht="19.5" customHeight="1">
      <c r="A83" s="70" t="s">
        <v>64</v>
      </c>
      <c r="X83" s="114" t="s">
        <v>80</v>
      </c>
    </row>
    <row r="84" spans="1:25" ht="19.5" customHeight="1">
      <c r="A84" s="70"/>
      <c r="X84" s="114"/>
    </row>
    <row r="85" spans="1:25" ht="19.5" customHeight="1" thickBot="1">
      <c r="A85" s="92" t="s">
        <v>78</v>
      </c>
      <c r="B85" s="92"/>
      <c r="C85" s="92"/>
      <c r="D85" s="31"/>
      <c r="E85" s="31"/>
      <c r="F85" s="30"/>
      <c r="G85" s="30"/>
      <c r="H85" s="30"/>
      <c r="I85" s="30"/>
      <c r="J85" s="30"/>
      <c r="N85" s="58"/>
      <c r="W85" s="51"/>
    </row>
    <row r="86" spans="1:25" ht="19.5" customHeight="1" thickBot="1">
      <c r="A86" s="39"/>
      <c r="B86" s="39"/>
      <c r="C86" s="39"/>
      <c r="D86" s="93" t="s">
        <v>72</v>
      </c>
      <c r="E86" s="93"/>
      <c r="F86" s="93" t="s">
        <v>73</v>
      </c>
      <c r="G86" s="93"/>
      <c r="H86" s="93" t="s">
        <v>65</v>
      </c>
      <c r="I86" s="93"/>
      <c r="J86" s="93" t="s">
        <v>79</v>
      </c>
      <c r="K86" s="93"/>
      <c r="L86" s="73"/>
      <c r="M86" s="74"/>
      <c r="N86" s="75"/>
      <c r="W86" s="51"/>
    </row>
    <row r="87" spans="1:25" ht="19.5" customHeight="1">
      <c r="A87" s="88"/>
      <c r="B87" s="88"/>
      <c r="C87" s="88"/>
      <c r="D87" s="57" t="s">
        <v>46</v>
      </c>
      <c r="E87" s="57" t="s">
        <v>47</v>
      </c>
      <c r="F87" s="57" t="s">
        <v>46</v>
      </c>
      <c r="G87" s="57" t="s">
        <v>47</v>
      </c>
      <c r="H87" s="57" t="s">
        <v>46</v>
      </c>
      <c r="I87" s="57" t="s">
        <v>47</v>
      </c>
      <c r="J87" s="76" t="s">
        <v>46</v>
      </c>
      <c r="K87" s="76" t="s">
        <v>47</v>
      </c>
      <c r="L87" s="69"/>
      <c r="W87" s="30"/>
    </row>
    <row r="88" spans="1:25" ht="19.5" customHeight="1">
      <c r="A88" s="89" t="s">
        <v>48</v>
      </c>
      <c r="B88" s="89"/>
      <c r="C88" s="89"/>
      <c r="D88" s="64" t="s">
        <v>49</v>
      </c>
      <c r="E88" s="64" t="s">
        <v>50</v>
      </c>
      <c r="F88" s="64" t="s">
        <v>49</v>
      </c>
      <c r="G88" s="64" t="s">
        <v>50</v>
      </c>
      <c r="H88" s="64" t="s">
        <v>49</v>
      </c>
      <c r="I88" s="64" t="s">
        <v>50</v>
      </c>
      <c r="J88" s="64" t="s">
        <v>49</v>
      </c>
      <c r="K88" s="64" t="s">
        <v>50</v>
      </c>
      <c r="L88" s="89" t="s">
        <v>51</v>
      </c>
      <c r="M88" s="89"/>
      <c r="N88" s="89"/>
    </row>
    <row r="89" spans="1:25" ht="19.5" customHeight="1">
      <c r="A89" s="90" t="s">
        <v>52</v>
      </c>
      <c r="B89" s="90"/>
      <c r="C89" s="90"/>
      <c r="D89" s="40">
        <v>91593022</v>
      </c>
      <c r="E89" s="40">
        <v>17188857</v>
      </c>
      <c r="F89" s="40">
        <v>110734378.74393</v>
      </c>
      <c r="G89" s="40">
        <v>16696522</v>
      </c>
      <c r="H89" s="40">
        <v>110775627.441192</v>
      </c>
      <c r="I89" s="40">
        <f>4997062+11270383</f>
        <v>16267445</v>
      </c>
      <c r="J89" s="40">
        <v>114044701.41742806</v>
      </c>
      <c r="K89" s="77">
        <v>14953586.454556569</v>
      </c>
      <c r="L89" s="90" t="s">
        <v>53</v>
      </c>
      <c r="M89" s="90"/>
      <c r="N89" s="90"/>
    </row>
    <row r="90" spans="1:25" ht="19.5" customHeight="1">
      <c r="A90" s="86" t="s">
        <v>54</v>
      </c>
      <c r="B90" s="86"/>
      <c r="C90" s="86"/>
      <c r="D90" s="41">
        <v>6792875</v>
      </c>
      <c r="E90" s="41">
        <v>1143964</v>
      </c>
      <c r="F90" s="41">
        <v>7158681.4786999999</v>
      </c>
      <c r="G90" s="41">
        <v>1464864</v>
      </c>
      <c r="H90" s="41">
        <v>9017554</v>
      </c>
      <c r="I90" s="41">
        <v>1163012</v>
      </c>
      <c r="J90" s="41">
        <v>6699199.4243999999</v>
      </c>
      <c r="K90" s="78">
        <v>1143327.7222</v>
      </c>
      <c r="L90" s="86" t="s">
        <v>55</v>
      </c>
      <c r="M90" s="86"/>
      <c r="N90" s="86"/>
    </row>
    <row r="91" spans="1:25" ht="19.5" customHeight="1">
      <c r="A91" s="85" t="s">
        <v>56</v>
      </c>
      <c r="B91" s="85"/>
      <c r="C91" s="85"/>
      <c r="D91" s="40">
        <v>199363648.30000001</v>
      </c>
      <c r="E91" s="40">
        <v>41519604</v>
      </c>
      <c r="F91" s="40">
        <f>198769833+1155254-3125521</f>
        <v>196799566</v>
      </c>
      <c r="G91" s="40">
        <v>48421993</v>
      </c>
      <c r="H91" s="40">
        <v>207685898.31993473</v>
      </c>
      <c r="I91" s="40">
        <v>49558090</v>
      </c>
      <c r="J91" s="40">
        <v>213398355.28025857</v>
      </c>
      <c r="K91" s="79">
        <v>58832686.587799996</v>
      </c>
      <c r="L91" s="85" t="s">
        <v>57</v>
      </c>
      <c r="M91" s="85"/>
      <c r="N91" s="85"/>
    </row>
    <row r="92" spans="1:25" ht="19.5" customHeight="1">
      <c r="A92" s="86" t="s">
        <v>58</v>
      </c>
      <c r="B92" s="86"/>
      <c r="C92" s="86"/>
      <c r="D92" s="41">
        <v>18275372.300000001</v>
      </c>
      <c r="E92" s="41">
        <v>1885972</v>
      </c>
      <c r="F92" s="41">
        <v>17426725.100000001</v>
      </c>
      <c r="G92" s="41">
        <v>1800344</v>
      </c>
      <c r="H92" s="41">
        <v>12153373.1</v>
      </c>
      <c r="I92" s="41">
        <v>1241715</v>
      </c>
      <c r="J92" s="41">
        <v>9703562.2165394612</v>
      </c>
      <c r="K92" s="80">
        <v>1851732.46</v>
      </c>
      <c r="L92" s="86" t="s">
        <v>59</v>
      </c>
      <c r="M92" s="86"/>
      <c r="N92" s="86"/>
      <c r="Y92" s="51"/>
    </row>
    <row r="93" spans="1:25" ht="19.5" customHeight="1" thickBot="1">
      <c r="A93" s="87" t="s">
        <v>60</v>
      </c>
      <c r="B93" s="87"/>
      <c r="C93" s="87"/>
      <c r="D93" s="46">
        <f t="shared" ref="D93:K93" si="15">SUM(D89:D92)</f>
        <v>316024917.60000002</v>
      </c>
      <c r="E93" s="46">
        <f t="shared" si="15"/>
        <v>61738397</v>
      </c>
      <c r="F93" s="46">
        <f t="shared" si="15"/>
        <v>332119351.32263005</v>
      </c>
      <c r="G93" s="46">
        <f t="shared" si="15"/>
        <v>68383723</v>
      </c>
      <c r="H93" s="46">
        <f t="shared" si="15"/>
        <v>339632452.86112678</v>
      </c>
      <c r="I93" s="46">
        <f t="shared" si="15"/>
        <v>68230262</v>
      </c>
      <c r="J93" s="46">
        <f t="shared" si="15"/>
        <v>343845818.33862609</v>
      </c>
      <c r="K93" s="46">
        <f t="shared" si="15"/>
        <v>76781333.224556565</v>
      </c>
      <c r="L93" s="87" t="s">
        <v>61</v>
      </c>
      <c r="M93" s="87"/>
      <c r="N93" s="87"/>
      <c r="Y93" s="51"/>
    </row>
    <row r="94" spans="1:25" ht="19.5" customHeight="1">
      <c r="A94" s="81" t="s">
        <v>64</v>
      </c>
      <c r="B94" s="82"/>
      <c r="C94" s="82"/>
      <c r="D94" s="82"/>
      <c r="E94" s="82"/>
      <c r="F94" s="82"/>
      <c r="G94" s="82"/>
      <c r="H94" s="83"/>
      <c r="I94" s="83"/>
      <c r="J94" s="83"/>
      <c r="K94" s="83"/>
      <c r="L94" s="83"/>
      <c r="M94" s="83"/>
      <c r="N94" s="84" t="s">
        <v>80</v>
      </c>
      <c r="O94" s="59"/>
      <c r="P94" s="59"/>
      <c r="Q94" s="59"/>
      <c r="R94" s="59"/>
      <c r="S94" s="59"/>
      <c r="T94" s="59"/>
      <c r="U94" s="59"/>
      <c r="V94" s="59"/>
      <c r="W94" s="59"/>
      <c r="X94" s="59"/>
    </row>
  </sheetData>
  <mergeCells count="161">
    <mergeCell ref="Q19:R19"/>
    <mergeCell ref="O48:P48"/>
    <mergeCell ref="A20:E20"/>
    <mergeCell ref="H20:X20"/>
    <mergeCell ref="S27:T27"/>
    <mergeCell ref="U27:V27"/>
    <mergeCell ref="W27:X27"/>
    <mergeCell ref="A29:A30"/>
    <mergeCell ref="A25:G25"/>
    <mergeCell ref="H25:X25"/>
    <mergeCell ref="A26:X26"/>
    <mergeCell ref="C27:D27"/>
    <mergeCell ref="E27:F27"/>
    <mergeCell ref="O27:P27"/>
    <mergeCell ref="Q27:R27"/>
    <mergeCell ref="G27:H27"/>
    <mergeCell ref="I27:J27"/>
    <mergeCell ref="K27:L27"/>
    <mergeCell ref="M27:N27"/>
    <mergeCell ref="G19:H19"/>
    <mergeCell ref="O19:P19"/>
    <mergeCell ref="U19:V19"/>
    <mergeCell ref="C19:D19"/>
    <mergeCell ref="W19:X19"/>
    <mergeCell ref="A1:E1"/>
    <mergeCell ref="A14:A15"/>
    <mergeCell ref="A16:A17"/>
    <mergeCell ref="G6:H6"/>
    <mergeCell ref="H1:X1"/>
    <mergeCell ref="A5:X5"/>
    <mergeCell ref="I6:J6"/>
    <mergeCell ref="K6:L6"/>
    <mergeCell ref="O6:P6"/>
    <mergeCell ref="E6:F6"/>
    <mergeCell ref="A10:A11"/>
    <mergeCell ref="U6:V6"/>
    <mergeCell ref="S6:T6"/>
    <mergeCell ref="Q6:R6"/>
    <mergeCell ref="C6:D6"/>
    <mergeCell ref="W6:X6"/>
    <mergeCell ref="M6:N6"/>
    <mergeCell ref="A8:A9"/>
    <mergeCell ref="A12:A13"/>
    <mergeCell ref="H2:X2"/>
    <mergeCell ref="H4:X4"/>
    <mergeCell ref="A2:D2"/>
    <mergeCell ref="A4:G4"/>
    <mergeCell ref="A6:B6"/>
    <mergeCell ref="S19:T19"/>
    <mergeCell ref="M19:N19"/>
    <mergeCell ref="E19:F19"/>
    <mergeCell ref="I19:J19"/>
    <mergeCell ref="K19:L19"/>
    <mergeCell ref="A18:A19"/>
    <mergeCell ref="E40:F40"/>
    <mergeCell ref="G40:H40"/>
    <mergeCell ref="C48:D48"/>
    <mergeCell ref="E48:F48"/>
    <mergeCell ref="G48:H48"/>
    <mergeCell ref="M40:N40"/>
    <mergeCell ref="O40:P40"/>
    <mergeCell ref="A22:E22"/>
    <mergeCell ref="H22:X22"/>
    <mergeCell ref="A23:D23"/>
    <mergeCell ref="H23:X23"/>
    <mergeCell ref="Q40:R40"/>
    <mergeCell ref="S40:T40"/>
    <mergeCell ref="U40:V40"/>
    <mergeCell ref="W40:X40"/>
    <mergeCell ref="A31:A32"/>
    <mergeCell ref="A33:A34"/>
    <mergeCell ref="A35:A36"/>
    <mergeCell ref="A37:A38"/>
    <mergeCell ref="A39:A40"/>
    <mergeCell ref="C40:D40"/>
    <mergeCell ref="I40:J40"/>
    <mergeCell ref="K40:L40"/>
    <mergeCell ref="A27:B27"/>
    <mergeCell ref="W48:X48"/>
    <mergeCell ref="A50:A51"/>
    <mergeCell ref="A52:A53"/>
    <mergeCell ref="A48:B48"/>
    <mergeCell ref="I48:J48"/>
    <mergeCell ref="K48:L48"/>
    <mergeCell ref="M48:N48"/>
    <mergeCell ref="A43:E43"/>
    <mergeCell ref="H43:X43"/>
    <mergeCell ref="A44:D44"/>
    <mergeCell ref="H44:X44"/>
    <mergeCell ref="A46:G46"/>
    <mergeCell ref="H46:X46"/>
    <mergeCell ref="A47:X47"/>
    <mergeCell ref="A54:A55"/>
    <mergeCell ref="A56:A57"/>
    <mergeCell ref="A58:A59"/>
    <mergeCell ref="A60:A61"/>
    <mergeCell ref="C61:D61"/>
    <mergeCell ref="E61:F61"/>
    <mergeCell ref="Q48:R48"/>
    <mergeCell ref="S48:T48"/>
    <mergeCell ref="U48:V48"/>
    <mergeCell ref="A64:E64"/>
    <mergeCell ref="A65:D65"/>
    <mergeCell ref="A67:G67"/>
    <mergeCell ref="A68:X68"/>
    <mergeCell ref="A69:B69"/>
    <mergeCell ref="C69:D69"/>
    <mergeCell ref="S61:T61"/>
    <mergeCell ref="U61:V61"/>
    <mergeCell ref="W61:X61"/>
    <mergeCell ref="G61:H61"/>
    <mergeCell ref="I61:J61"/>
    <mergeCell ref="K61:L61"/>
    <mergeCell ref="M61:N61"/>
    <mergeCell ref="O61:P61"/>
    <mergeCell ref="Q61:R61"/>
    <mergeCell ref="W69:X69"/>
    <mergeCell ref="A77:A78"/>
    <mergeCell ref="A79:A80"/>
    <mergeCell ref="A81:A82"/>
    <mergeCell ref="C82:D82"/>
    <mergeCell ref="E82:F82"/>
    <mergeCell ref="Q69:R69"/>
    <mergeCell ref="S69:T69"/>
    <mergeCell ref="U69:V69"/>
    <mergeCell ref="S82:T82"/>
    <mergeCell ref="U82:V82"/>
    <mergeCell ref="A71:A72"/>
    <mergeCell ref="A73:A74"/>
    <mergeCell ref="E69:F69"/>
    <mergeCell ref="G69:H69"/>
    <mergeCell ref="I69:J69"/>
    <mergeCell ref="K69:L69"/>
    <mergeCell ref="M69:N69"/>
    <mergeCell ref="O69:P69"/>
    <mergeCell ref="A75:A76"/>
    <mergeCell ref="W82:X82"/>
    <mergeCell ref="A85:C85"/>
    <mergeCell ref="D86:E86"/>
    <mergeCell ref="F86:G86"/>
    <mergeCell ref="H86:I86"/>
    <mergeCell ref="J86:K86"/>
    <mergeCell ref="G82:H82"/>
    <mergeCell ref="I82:J82"/>
    <mergeCell ref="K82:L82"/>
    <mergeCell ref="M82:N82"/>
    <mergeCell ref="O82:P82"/>
    <mergeCell ref="Q82:R82"/>
    <mergeCell ref="A91:C91"/>
    <mergeCell ref="L91:N91"/>
    <mergeCell ref="A92:C92"/>
    <mergeCell ref="L92:N92"/>
    <mergeCell ref="A93:C93"/>
    <mergeCell ref="L93:N93"/>
    <mergeCell ref="A87:C87"/>
    <mergeCell ref="A88:C88"/>
    <mergeCell ref="L88:N88"/>
    <mergeCell ref="A89:C89"/>
    <mergeCell ref="L89:N89"/>
    <mergeCell ref="A90:C90"/>
    <mergeCell ref="L90:N90"/>
  </mergeCells>
  <pageMargins left="0.2" right="0.28000000000000003" top="0.75" bottom="0.75" header="0.3" footer="0.3"/>
  <pageSetup paperSize="9" scale="2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بيانات مالية" ma:contentTypeID="0x010100F11D0E12AAEC9D4586774B60ADC3CE0A0007FCD6F77F5B014F8B68F4DE682B7513" ma:contentTypeVersion="8" ma:contentTypeDescription="" ma:contentTypeScope="" ma:versionID="039ff6a22e9bfa7fd741e40120c53f65">
  <xsd:schema xmlns:xsd="http://www.w3.org/2001/XMLSchema" xmlns:xs="http://www.w3.org/2001/XMLSchema" xmlns:p="http://schemas.microsoft.com/office/2006/metadata/properties" xmlns:ns3="e5519edd-6e5c-4c8e-9e68-071069904cd2" xmlns:ns4="28b48644-d195-48c1-826e-a838468512de" targetNamespace="http://schemas.microsoft.com/office/2006/metadata/properties" ma:root="true" ma:fieldsID="344d15212f8afb19a15e870e7dd72819" ns3:_="" ns4:_="">
    <xsd:import namespace="e5519edd-6e5c-4c8e-9e68-071069904cd2"/>
    <xsd:import namespace="28b48644-d195-48c1-826e-a838468512d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519edd-6e5c-4c8e-9e68-071069904cd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48644-d195-48c1-826e-a838468512d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11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66EFEE-FE15-4A82-86B6-C84C97EDE0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1CDCAE-4CC6-461A-AEF7-A20FB80797F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6AEA649-985C-450A-A434-57808A05A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519edd-6e5c-4c8e-9e68-071069904cd2"/>
    <ds:schemaRef ds:uri="28b48644-d195-48c1-826e-a838468512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5B2CC76-77C4-438C-AF86-74426699D3C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4D923C71-BC01-432F-9AAC-0083F4EED76B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28b48644-d195-48c1-826e-a838468512de"/>
    <ds:schemaRef ds:uri="http://www.w3.org/XML/1998/namespace"/>
    <ds:schemaRef ds:uri="e5519edd-6e5c-4c8e-9e68-071069904cd2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ورقة1</vt:lpstr>
      <vt:lpstr>Invest</vt:lpstr>
      <vt:lpstr>Invest!Print_Area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Invest_2018_RD</dc:title>
  <dc:creator/>
  <cp:lastModifiedBy/>
  <dcterms:created xsi:type="dcterms:W3CDTF">2006-09-16T00:00:00Z</dcterms:created>
  <dcterms:modified xsi:type="dcterms:W3CDTF">2022-05-19T05:53:51Z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MCTET7URAYYM-123422113-175</vt:lpwstr>
  </property>
  <property fmtid="{D5CDD505-2E9C-101B-9397-08002B2CF9AE}" pid="3" name="_dlc_DocIdItemGuid">
    <vt:lpwstr>703ca12c-dcf1-449f-8daa-9036b0302c64</vt:lpwstr>
  </property>
  <property fmtid="{D5CDD505-2E9C-101B-9397-08002B2CF9AE}" pid="4" name="_dlc_DocIdUrl">
    <vt:lpwstr>https://bms.pcma.ps/Rsearches/Statistics/_layouts/15/DocIdRedir.aspx?ID=MCTET7URAYYM-123422113-175, MCTET7URAYYM-123422113-175</vt:lpwstr>
  </property>
</Properties>
</file>