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25" activeTab="1"/>
  </bookViews>
  <sheets>
    <sheet name="ورقة1" sheetId="1" r:id="rId1"/>
    <sheet name="Invest" sheetId="2" r:id="rId2"/>
  </sheets>
  <definedNames>
    <definedName name="_xlnm.Print_Area" localSheetId="1">'Invest'!$A$1:$X$89</definedName>
  </definedNames>
  <calcPr fullCalcOnLoad="1"/>
</workbook>
</file>

<file path=xl/sharedStrings.xml><?xml version="1.0" encoding="utf-8"?>
<sst xmlns="http://schemas.openxmlformats.org/spreadsheetml/2006/main" count="320" uniqueCount="76">
  <si>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</si>
  <si>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</si>
  <si>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</si>
  <si>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</si>
  <si>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</si>
  <si>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</si>
  <si>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</si>
  <si>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</si>
  <si>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</si>
  <si>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</si>
  <si>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</si>
  <si>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</si>
  <si>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</si>
  <si>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>التكافل</t>
  </si>
  <si>
    <t xml:space="preserve">المشرق </t>
  </si>
  <si>
    <t xml:space="preserve">اليكو </t>
  </si>
  <si>
    <t xml:space="preserve">الرهن العقاري </t>
  </si>
  <si>
    <t xml:space="preserve">القطاع </t>
  </si>
  <si>
    <t xml:space="preserve">            اسهم </t>
  </si>
  <si>
    <t xml:space="preserve">المجموع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</si>
  <si>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</si>
  <si>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</si>
  <si>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</si>
  <si>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</si>
  <si>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</si>
  <si>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</si>
  <si>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</si>
  <si>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</si>
  <si>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</si>
  <si>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</si>
  <si>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</si>
  <si>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</si>
  <si>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</si>
  <si>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</si>
  <si>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</si>
  <si>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</si>
  <si>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</si>
  <si>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</si>
  <si>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</si>
  <si>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</si>
  <si>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</si>
  <si>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</si>
  <si>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</si>
  <si>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</si>
  <si>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</si>
  <si>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</si>
  <si>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اجمالي المخصص</t>
  </si>
  <si>
    <t>حصة معيد التأمين</t>
  </si>
  <si>
    <t>البيان</t>
  </si>
  <si>
    <t>Total provision</t>
  </si>
  <si>
    <t>Reinsurer's share</t>
  </si>
  <si>
    <t xml:space="preserve">Description </t>
  </si>
  <si>
    <t>احتياطي الاخطار السارية</t>
  </si>
  <si>
    <t>Current risk reserve</t>
  </si>
  <si>
    <t>الاحتياطي  الحسابي</t>
  </si>
  <si>
    <t>Mathematical reserve</t>
  </si>
  <si>
    <t>احتياطي ادعاءات تحت التسوية</t>
  </si>
  <si>
    <t>Outstanding claims reserve</t>
  </si>
  <si>
    <t>احتياطي ادعاءات غير مبلغ عنها</t>
  </si>
  <si>
    <t>Unreported claims reserve</t>
  </si>
  <si>
    <t>المجموع</t>
  </si>
  <si>
    <t>Total</t>
  </si>
  <si>
    <t>تمكين</t>
  </si>
  <si>
    <t>31/3/2020</t>
  </si>
  <si>
    <t>30/6/2020</t>
  </si>
  <si>
    <t>تحليل الاستثمارات والاحتياطيات الفنية كما في 31/03/2020 :-</t>
  </si>
  <si>
    <t xml:space="preserve">Analysis of investments &amp; technical reserves as it is on 31/03/2020 :-    </t>
  </si>
  <si>
    <t>تحليل الاستثمارات والاحتياطيات الفنية كما في 30/06/2020 :-</t>
  </si>
  <si>
    <t xml:space="preserve">Analysis of investments &amp; technical reserves as it is on 30/06/2020 :-    </t>
  </si>
  <si>
    <t xml:space="preserve">احتياطيات التأمين الفنية </t>
  </si>
  <si>
    <t>30/9/2020</t>
  </si>
  <si>
    <t>تحليل الاستثمارات والاحتياطيات الفنية كما في 30/09/2020 :-</t>
  </si>
  <si>
    <t xml:space="preserve">Analysis of investments &amp; technical reserves as it is on 30/09/2020 :-    </t>
  </si>
  <si>
    <t xml:space="preserve">Analysis of investments &amp; technical reserves as it is on 31/12/2020 :-    </t>
  </si>
  <si>
    <t xml:space="preserve">31/12/2020 </t>
  </si>
  <si>
    <t>تحليل الاستثمارات والاحتياطيات الفنية كما في 31/12/2020 :-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</si>
</sst>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#,##0_-"/>
    <numFmt numFmtId="174" formatCode="[$-401]hh:mm:ss\ AM/PM"/>
    <numFmt numFmtId="175" formatCode="0.0"/>
    <numFmt numFmtId="176" formatCode="_-* #,##0.0_-;_-* #,##0.0\-;_-* &quot;-&quot;??_-;_-@_-"/>
    <numFmt numFmtId="177" formatCode="_-* #,##0.0000_-;_-* #,##0.0000\-;_-* &quot;-&quot;????_-;_-@_-"/>
    <numFmt numFmtId="178" formatCode="_-* #,##0.00000000_-;_-* #,##0.00000000\-;_-* &quot;-&quot;????????_-;_-@_-"/>
    <numFmt numFmtId="179" formatCode="_(* #,##0.00000000_);_(* \(#,##0.00000000\);_(* &quot;-&quot;????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0;[Red]0"/>
    <numFmt numFmtId="186" formatCode="#,##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implified Arabic"/>
      <family val="1"/>
    </font>
    <font>
      <sz val="11"/>
      <color indexed="8"/>
      <name val="Simplified Arabic"/>
      <family val="1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/>
      <right/>
      <top style="thin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 style="thin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medium">
        <color theme="7" tint="-0.24997000396251678"/>
      </top>
      <bottom style="thin">
        <color theme="7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172" fontId="45" fillId="33" borderId="0" xfId="42" applyNumberFormat="1" applyFont="1" applyFill="1" applyAlignment="1">
      <alignment horizontal="center" vertical="center" wrapText="1"/>
    </xf>
    <xf numFmtId="172" fontId="45" fillId="35" borderId="0" xfId="42" applyNumberFormat="1" applyFont="1" applyFill="1" applyAlignment="1">
      <alignment horizontal="center" vertical="center" wrapText="1"/>
    </xf>
    <xf numFmtId="172" fontId="45" fillId="34" borderId="0" xfId="42" applyNumberFormat="1" applyFont="1" applyFill="1" applyAlignment="1">
      <alignment horizontal="center" vertical="center" wrapText="1"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72" fontId="0" fillId="0" borderId="0" xfId="42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42" applyNumberFormat="1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72" fontId="45" fillId="34" borderId="0" xfId="42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172" fontId="45" fillId="0" borderId="0" xfId="42" applyNumberFormat="1" applyFont="1" applyFill="1" applyAlignment="1">
      <alignment horizontal="center" vertical="center" wrapText="1"/>
    </xf>
    <xf numFmtId="0" fontId="47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72" fontId="45" fillId="0" borderId="0" xfId="42" applyNumberFormat="1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3" fontId="44" fillId="35" borderId="0" xfId="42" applyNumberFormat="1" applyFont="1" applyFill="1" applyBorder="1" applyAlignment="1">
      <alignment horizontal="center" vertical="center" wrapText="1"/>
    </xf>
    <xf numFmtId="3" fontId="44" fillId="35" borderId="0" xfId="42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48" fillId="0" borderId="0" xfId="0" applyFont="1" applyFill="1" applyBorder="1" applyAlignment="1" applyProtection="1">
      <alignment vertical="center"/>
      <protection locked="0"/>
    </xf>
    <xf numFmtId="9" fontId="0" fillId="0" borderId="0" xfId="57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46" fillId="0" borderId="0" xfId="0" applyNumberFormat="1" applyFont="1" applyBorder="1" applyAlignment="1" applyProtection="1">
      <alignment horizontal="right" vertical="center"/>
      <protection/>
    </xf>
    <xf numFmtId="171" fontId="47" fillId="0" borderId="0" xfId="42" applyFont="1" applyBorder="1" applyAlignment="1" applyProtection="1">
      <alignment horizontal="right" vertical="center"/>
      <protection/>
    </xf>
    <xf numFmtId="173" fontId="48" fillId="36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173" fontId="49" fillId="0" borderId="0" xfId="0" applyNumberFormat="1" applyFont="1" applyFill="1" applyBorder="1" applyAlignment="1" applyProtection="1">
      <alignment horizontal="center" vertical="center" wrapText="1"/>
      <protection/>
    </xf>
    <xf numFmtId="173" fontId="49" fillId="36" borderId="0" xfId="0" applyNumberFormat="1" applyFont="1" applyFill="1" applyBorder="1" applyAlignment="1" applyProtection="1">
      <alignment horizontal="center" vertical="center" wrapText="1"/>
      <protection/>
    </xf>
    <xf numFmtId="184" fontId="45" fillId="33" borderId="0" xfId="42" applyNumberFormat="1" applyFont="1" applyFill="1" applyAlignment="1">
      <alignment horizontal="center" vertical="center" wrapText="1"/>
    </xf>
    <xf numFmtId="184" fontId="45" fillId="35" borderId="0" xfId="42" applyNumberFormat="1" applyFont="1" applyFill="1" applyAlignment="1">
      <alignment horizontal="center" vertical="center" wrapText="1"/>
    </xf>
    <xf numFmtId="184" fontId="45" fillId="34" borderId="0" xfId="42" applyNumberFormat="1" applyFont="1" applyFill="1" applyAlignment="1">
      <alignment horizontal="center" vertical="center" wrapText="1"/>
    </xf>
    <xf numFmtId="184" fontId="45" fillId="34" borderId="0" xfId="42" applyNumberFormat="1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73" fontId="48" fillId="36" borderId="11" xfId="0" applyNumberFormat="1" applyFont="1" applyFill="1" applyBorder="1" applyAlignment="1" applyProtection="1">
      <alignment horizontal="center" vertical="center" wrapText="1"/>
      <protection/>
    </xf>
    <xf numFmtId="184" fontId="44" fillId="35" borderId="0" xfId="42" applyNumberFormat="1" applyFont="1" applyFill="1" applyBorder="1" applyAlignment="1">
      <alignment horizontal="center" vertical="center" wrapText="1" readingOrder="1"/>
    </xf>
    <xf numFmtId="184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center" vertical="center"/>
    </xf>
    <xf numFmtId="184" fontId="0" fillId="0" borderId="0" xfId="42" applyNumberFormat="1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173" fontId="48" fillId="36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vertical="center"/>
      <protection/>
    </xf>
    <xf numFmtId="14" fontId="48" fillId="0" borderId="0" xfId="0" applyNumberFormat="1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184" fontId="44" fillId="35" borderId="0" xfId="42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 applyProtection="1">
      <alignment vertical="center" wrapText="1"/>
      <protection locked="0"/>
    </xf>
    <xf numFmtId="184" fontId="44" fillId="35" borderId="14" xfId="42" applyNumberFormat="1" applyFont="1" applyFill="1" applyBorder="1" applyAlignment="1">
      <alignment horizontal="left" vertical="center" wrapText="1"/>
    </xf>
    <xf numFmtId="184" fontId="49" fillId="0" borderId="15" xfId="42" applyNumberFormat="1" applyFont="1" applyFill="1" applyBorder="1" applyAlignment="1" applyProtection="1">
      <alignment horizontal="center" vertical="center"/>
      <protection/>
    </xf>
    <xf numFmtId="184" fontId="49" fillId="36" borderId="0" xfId="42" applyNumberFormat="1" applyFont="1" applyFill="1" applyBorder="1" applyAlignment="1" applyProtection="1">
      <alignment horizontal="center" vertical="center"/>
      <protection/>
    </xf>
    <xf numFmtId="184" fontId="49" fillId="0" borderId="0" xfId="42" applyNumberFormat="1" applyFont="1" applyFill="1" applyBorder="1" applyAlignment="1" applyProtection="1">
      <alignment horizontal="center" vertical="center"/>
      <protection/>
    </xf>
    <xf numFmtId="184" fontId="49" fillId="36" borderId="0" xfId="0" applyNumberFormat="1" applyFont="1" applyFill="1" applyBorder="1" applyAlignment="1" applyProtection="1">
      <alignment horizontal="center" vertical="center"/>
      <protection/>
    </xf>
    <xf numFmtId="184" fontId="44" fillId="35" borderId="0" xfId="42" applyNumberFormat="1" applyFont="1" applyFill="1" applyBorder="1" applyAlignment="1">
      <alignment vertical="center" wrapText="1"/>
    </xf>
    <xf numFmtId="184" fontId="44" fillId="35" borderId="0" xfId="42" applyNumberFormat="1" applyFont="1" applyFill="1" applyBorder="1" applyAlignment="1">
      <alignment horizontal="left" vertical="center"/>
    </xf>
    <xf numFmtId="0" fontId="44" fillId="34" borderId="0" xfId="0" applyFont="1" applyFill="1" applyBorder="1" applyAlignment="1">
      <alignment vertical="center" wrapText="1" readingOrder="2"/>
    </xf>
    <xf numFmtId="0" fontId="44" fillId="34" borderId="0" xfId="0" applyFont="1" applyFill="1" applyBorder="1" applyAlignment="1">
      <alignment horizontal="right" vertical="center" readingOrder="2"/>
    </xf>
    <xf numFmtId="0" fontId="0" fillId="0" borderId="0" xfId="0" applyAlignment="1">
      <alignment vertical="center"/>
    </xf>
    <xf numFmtId="172" fontId="44" fillId="33" borderId="15" xfId="42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3" fontId="44" fillId="35" borderId="10" xfId="42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14" fontId="48" fillId="0" borderId="17" xfId="0" applyNumberFormat="1" applyFont="1" applyFill="1" applyBorder="1" applyAlignment="1" applyProtection="1">
      <alignment horizontal="center"/>
      <protection/>
    </xf>
    <xf numFmtId="14" fontId="48" fillId="0" borderId="18" xfId="0" applyNumberFormat="1" applyFont="1" applyFill="1" applyBorder="1" applyAlignment="1" applyProtection="1">
      <alignment horizontal="center"/>
      <protection/>
    </xf>
    <xf numFmtId="14" fontId="48" fillId="0" borderId="19" xfId="0" applyNumberFormat="1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48" fillId="0" borderId="10" xfId="0" applyFont="1" applyBorder="1" applyAlignment="1" applyProtection="1">
      <alignment horizontal="right" vertical="center"/>
      <protection locked="0"/>
    </xf>
    <xf numFmtId="3" fontId="44" fillId="35" borderId="10" xfId="42" applyNumberFormat="1" applyFont="1" applyFill="1" applyBorder="1" applyAlignment="1">
      <alignment horizontal="center" vertical="center" wrapText="1" readingOrder="1"/>
    </xf>
    <xf numFmtId="184" fontId="44" fillId="35" borderId="10" xfId="42" applyNumberFormat="1" applyFont="1" applyFill="1" applyBorder="1" applyAlignment="1">
      <alignment horizontal="center" vertical="center" wrapText="1" readingOrder="1"/>
    </xf>
    <xf numFmtId="184" fontId="44" fillId="35" borderId="10" xfId="42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36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173" fontId="48" fillId="36" borderId="11" xfId="0" applyNumberFormat="1" applyFont="1" applyFill="1" applyBorder="1" applyAlignment="1" applyProtection="1">
      <alignment horizontal="center" vertical="center" wrapText="1"/>
      <protection/>
    </xf>
    <xf numFmtId="172" fontId="44" fillId="33" borderId="0" xfId="42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right" vertical="center" wrapText="1" readingOrder="2"/>
    </xf>
    <xf numFmtId="184" fontId="44" fillId="35" borderId="0" xfId="42" applyNumberFormat="1" applyFont="1" applyFill="1" applyBorder="1" applyAlignment="1">
      <alignment horizontal="left" vertical="center" wrapText="1"/>
    </xf>
    <xf numFmtId="14" fontId="48" fillId="0" borderId="17" xfId="0" applyNumberFormat="1" applyFont="1" applyFill="1" applyBorder="1" applyAlignment="1" applyProtection="1">
      <alignment horizontal="center" vertical="center"/>
      <protection/>
    </xf>
    <xf numFmtId="14" fontId="48" fillId="0" borderId="18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T16" comment="" totalsRowShown="0">
  <tableColumns count="2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6"/>
  <sheetViews>
    <sheetView rightToLeft="1" zoomScale="85" zoomScaleNormal="85" zoomScalePageLayoutView="0" workbookViewId="0" topLeftCell="A1">
      <selection activeCell="J20" sqref="A20:J20"/>
    </sheetView>
  </sheetViews>
  <sheetFormatPr defaultColWidth="9.140625" defaultRowHeight="15"/>
  <cols>
    <col min="1" max="1" width="14.7109375" style="2" customWidth="1"/>
    <col min="2" max="2" width="14.8515625" style="4" customWidth="1"/>
    <col min="3" max="6" width="11.8515625" style="3" bestFit="1" customWidth="1"/>
    <col min="7" max="7" width="11.28125" style="3" customWidth="1"/>
    <col min="8" max="8" width="11.140625" style="3" customWidth="1"/>
    <col min="9" max="9" width="11.28125" style="3" customWidth="1"/>
    <col min="10" max="18" width="12.140625" style="3" customWidth="1"/>
    <col min="19" max="19" width="13.57421875" style="3" customWidth="1"/>
    <col min="20" max="20" width="14.28125" style="3" bestFit="1" customWidth="1"/>
    <col min="21" max="16384" width="9.140625" style="2" customWidth="1"/>
  </cols>
  <sheetData>
    <row r="3" spans="1:20" s="1" customFormat="1" ht="23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  <c r="Q3" t="s">
        <v>36</v>
      </c>
      <c r="R3" t="s">
        <v>37</v>
      </c>
      <c r="S3" t="s">
        <v>38</v>
      </c>
      <c r="T3" t="s">
        <v>39</v>
      </c>
    </row>
    <row r="4" spans="1:20" s="1" customFormat="1" ht="23.25">
      <c r="A4" t="s">
        <v>6</v>
      </c>
      <c r="B4"/>
      <c r="C4" t="s">
        <v>5</v>
      </c>
      <c r="D4"/>
      <c r="E4" t="s">
        <v>10</v>
      </c>
      <c r="F4"/>
      <c r="G4" t="s">
        <v>11</v>
      </c>
      <c r="H4"/>
      <c r="I4" t="s">
        <v>12</v>
      </c>
      <c r="J4"/>
      <c r="K4" t="s">
        <v>13</v>
      </c>
      <c r="L4"/>
      <c r="M4" t="s">
        <v>14</v>
      </c>
      <c r="N4"/>
      <c r="O4" t="s">
        <v>15</v>
      </c>
      <c r="P4"/>
      <c r="Q4" t="s">
        <v>16</v>
      </c>
      <c r="R4"/>
      <c r="S4" t="s">
        <v>17</v>
      </c>
      <c r="T4"/>
    </row>
    <row r="5" spans="1:21" ht="44.25" customHeight="1">
      <c r="A5"/>
      <c r="B5"/>
      <c r="C5" t="s">
        <v>1</v>
      </c>
      <c r="D5" t="s">
        <v>2</v>
      </c>
      <c r="E5" t="s">
        <v>1</v>
      </c>
      <c r="F5" t="s">
        <v>2</v>
      </c>
      <c r="G5" t="s">
        <v>1</v>
      </c>
      <c r="H5" t="s">
        <v>2</v>
      </c>
      <c r="I5" t="s">
        <v>1</v>
      </c>
      <c r="J5" t="s">
        <v>2</v>
      </c>
      <c r="K5" t="s">
        <v>1</v>
      </c>
      <c r="L5" t="s">
        <v>2</v>
      </c>
      <c r="M5" t="s">
        <v>1</v>
      </c>
      <c r="N5" t="s">
        <v>2</v>
      </c>
      <c r="O5" t="s">
        <v>1</v>
      </c>
      <c r="P5" t="s">
        <v>2</v>
      </c>
      <c r="Q5" t="s">
        <v>1</v>
      </c>
      <c r="R5" t="s">
        <v>2</v>
      </c>
      <c r="S5" t="s">
        <v>1</v>
      </c>
      <c r="T5" t="s">
        <v>2</v>
      </c>
      <c r="U5" s="5"/>
    </row>
    <row r="6" spans="1:20" ht="21" customHeight="1">
      <c r="A6" t="s">
        <v>18</v>
      </c>
      <c r="B6"/>
      <c r="C6">
        <v>14658116</v>
      </c>
      <c r="D6">
        <v>16502170</v>
      </c>
      <c r="E6">
        <v>3342870</v>
      </c>
      <c r="F6">
        <v>4674827</v>
      </c>
      <c r="G6">
        <v>797487</v>
      </c>
      <c r="H6">
        <v>978781</v>
      </c>
      <c r="I6">
        <v>0</v>
      </c>
      <c r="J6">
        <v>328127</v>
      </c>
      <c r="K6"/>
      <c r="L6">
        <v>4471667</v>
      </c>
      <c r="M6">
        <v>1047668</v>
      </c>
      <c r="N6">
        <v>682133</v>
      </c>
      <c r="O6">
        <v>0</v>
      </c>
      <c r="P6">
        <v>0</v>
      </c>
      <c r="Q6">
        <v>0</v>
      </c>
      <c r="R6">
        <v>0</v>
      </c>
      <c r="S6" s="16">
        <f>C6+E6+G6+I6+K6+M6+O6+Q6</f>
        <v>19846141</v>
      </c>
      <c r="T6">
        <f>D6+F6+H6+J6+L6+N6+P6+R6</f>
        <v>27637705</v>
      </c>
    </row>
    <row r="7" spans="1:20" ht="21" customHeight="1">
      <c r="A7" t="s">
        <v>0</v>
      </c>
      <c r="B7" t="s">
        <v>3</v>
      </c>
      <c r="C7">
        <v>0</v>
      </c>
      <c r="D7">
        <v>0</v>
      </c>
      <c r="E7">
        <v>12344983</v>
      </c>
      <c r="F7">
        <v>0</v>
      </c>
      <c r="G7">
        <v>0</v>
      </c>
      <c r="H7">
        <v>0</v>
      </c>
      <c r="I7">
        <v>0</v>
      </c>
      <c r="J7">
        <v>0</v>
      </c>
      <c r="K7">
        <v>413428</v>
      </c>
      <c r="L7">
        <v>0</v>
      </c>
      <c r="M7">
        <v>0</v>
      </c>
      <c r="N7">
        <v>0</v>
      </c>
      <c r="O7">
        <v>13443898</v>
      </c>
      <c r="P7">
        <v>0</v>
      </c>
      <c r="Q7">
        <v>0</v>
      </c>
      <c r="R7">
        <v>0</v>
      </c>
      <c r="S7">
        <f aca="true" t="shared" si="0" ref="S7:S15">C7+E7+G7+I7+K7+M7+O7+Q7</f>
        <v>26202309</v>
      </c>
      <c r="T7">
        <f aca="true" t="shared" si="1" ref="T7:T15">D7+F7+H7+J7+L7+N7+P7+R7</f>
        <v>0</v>
      </c>
    </row>
    <row r="8" spans="1:20" ht="21" customHeight="1">
      <c r="A8"/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</v>
      </c>
      <c r="T8">
        <f t="shared" si="1"/>
        <v>0</v>
      </c>
    </row>
    <row r="9" spans="1:20" ht="21" customHeight="1">
      <c r="A9" t="s">
        <v>7</v>
      </c>
      <c r="B9" t="s">
        <v>3</v>
      </c>
      <c r="C9">
        <v>0</v>
      </c>
      <c r="D9">
        <v>14408892</v>
      </c>
      <c r="E9">
        <v>0</v>
      </c>
      <c r="F9">
        <v>12016550</v>
      </c>
      <c r="G9">
        <v>0</v>
      </c>
      <c r="H9">
        <v>0</v>
      </c>
      <c r="I9">
        <v>0</v>
      </c>
      <c r="J9">
        <v>18104733</v>
      </c>
      <c r="K9">
        <v>0</v>
      </c>
      <c r="L9">
        <v>5212815</v>
      </c>
      <c r="M9">
        <v>1365453</v>
      </c>
      <c r="N9">
        <v>6864763</v>
      </c>
      <c r="O9">
        <v>0</v>
      </c>
      <c r="P9">
        <v>0</v>
      </c>
      <c r="Q9">
        <v>0</v>
      </c>
      <c r="R9">
        <v>0</v>
      </c>
      <c r="S9">
        <f t="shared" si="0"/>
        <v>1365453</v>
      </c>
      <c r="T9">
        <f t="shared" si="1"/>
        <v>56607753</v>
      </c>
    </row>
    <row r="10" spans="1:20" ht="21" customHeight="1">
      <c r="A10"/>
      <c r="B10" t="s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6022116</v>
      </c>
      <c r="I10">
        <v>0</v>
      </c>
      <c r="J10">
        <v>0</v>
      </c>
      <c r="K10">
        <v>0</v>
      </c>
      <c r="L10">
        <v>0</v>
      </c>
      <c r="M10">
        <v>0</v>
      </c>
      <c r="N10">
        <f>1696389+7364</f>
        <v>1703753</v>
      </c>
      <c r="O10">
        <v>0</v>
      </c>
      <c r="P10">
        <v>0</v>
      </c>
      <c r="Q10">
        <v>0</v>
      </c>
      <c r="R10">
        <v>0</v>
      </c>
      <c r="S10">
        <f t="shared" si="0"/>
        <v>0</v>
      </c>
      <c r="T10">
        <f t="shared" si="1"/>
        <v>7725869</v>
      </c>
    </row>
    <row r="11" spans="1:20" ht="21" customHeight="1">
      <c r="A11" t="s">
        <v>8</v>
      </c>
      <c r="B11" t="s">
        <v>3</v>
      </c>
      <c r="C11">
        <v>0</v>
      </c>
      <c r="D11">
        <v>2376330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705414+287534</f>
        <v>992948</v>
      </c>
      <c r="O11">
        <v>0</v>
      </c>
      <c r="P11">
        <v>0</v>
      </c>
      <c r="Q11">
        <v>0</v>
      </c>
      <c r="R11">
        <v>0</v>
      </c>
      <c r="S11" s="16">
        <f t="shared" si="0"/>
        <v>0</v>
      </c>
      <c r="T11" s="16">
        <f t="shared" si="1"/>
        <v>3369278</v>
      </c>
    </row>
    <row r="12" spans="1:20" ht="21" customHeight="1">
      <c r="A12"/>
      <c r="B12" t="s">
        <v>4</v>
      </c>
      <c r="C12">
        <v>0</v>
      </c>
      <c r="D12">
        <v>6370954</v>
      </c>
      <c r="E12">
        <v>16048025</v>
      </c>
      <c r="F12">
        <v>0</v>
      </c>
      <c r="G12">
        <v>0</v>
      </c>
      <c r="H12">
        <v>670000</v>
      </c>
      <c r="I12">
        <v>0</v>
      </c>
      <c r="J12">
        <v>5294398</v>
      </c>
      <c r="K12">
        <v>0</v>
      </c>
      <c r="L12">
        <v>3534672</v>
      </c>
      <c r="M12">
        <v>0</v>
      </c>
      <c r="N12">
        <f>2026001-N11</f>
        <v>1033053</v>
      </c>
      <c r="O12">
        <v>4200351</v>
      </c>
      <c r="P12">
        <f>2649299</f>
        <v>2649299</v>
      </c>
      <c r="Q12">
        <v>0</v>
      </c>
      <c r="R12">
        <v>2228784</v>
      </c>
      <c r="S12" s="16">
        <f t="shared" si="0"/>
        <v>20248376</v>
      </c>
      <c r="T12" s="16">
        <f t="shared" si="1"/>
        <v>21781160</v>
      </c>
    </row>
    <row r="13" spans="1:20" ht="21" customHeight="1">
      <c r="A13" t="s">
        <v>9</v>
      </c>
      <c r="B13" t="s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384330</v>
      </c>
      <c r="Q13">
        <v>0</v>
      </c>
      <c r="R13">
        <v>2256700</v>
      </c>
      <c r="S13">
        <f t="shared" si="0"/>
        <v>0</v>
      </c>
      <c r="T13">
        <f t="shared" si="1"/>
        <v>2641030</v>
      </c>
    </row>
    <row r="14" spans="1:20" s="1" customFormat="1" ht="38.25" customHeight="1">
      <c r="A14"/>
      <c r="B14" t="s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f t="shared" si="0"/>
        <v>0</v>
      </c>
      <c r="T14">
        <f t="shared" si="1"/>
        <v>0</v>
      </c>
    </row>
    <row r="15" spans="1:20" s="1" customFormat="1" ht="36" customHeight="1">
      <c r="A15" s="6" t="s">
        <v>19</v>
      </c>
      <c r="B15"/>
      <c r="C15">
        <f aca="true" t="shared" si="2" ref="C15:R15">SUM(C6:C14)</f>
        <v>14658116</v>
      </c>
      <c r="D15">
        <f t="shared" si="2"/>
        <v>39658346</v>
      </c>
      <c r="E15">
        <f t="shared" si="2"/>
        <v>31735878</v>
      </c>
      <c r="F15">
        <f t="shared" si="2"/>
        <v>16691377</v>
      </c>
      <c r="G15">
        <f t="shared" si="2"/>
        <v>797487</v>
      </c>
      <c r="H15">
        <f t="shared" si="2"/>
        <v>7670897</v>
      </c>
      <c r="I15">
        <f t="shared" si="2"/>
        <v>0</v>
      </c>
      <c r="J15">
        <f t="shared" si="2"/>
        <v>23727258</v>
      </c>
      <c r="K15">
        <f t="shared" si="2"/>
        <v>413428</v>
      </c>
      <c r="L15">
        <f t="shared" si="2"/>
        <v>13219154</v>
      </c>
      <c r="M15">
        <f t="shared" si="2"/>
        <v>2413121</v>
      </c>
      <c r="N15">
        <f t="shared" si="2"/>
        <v>11276650</v>
      </c>
      <c r="O15">
        <f t="shared" si="2"/>
        <v>17644249</v>
      </c>
      <c r="P15">
        <f t="shared" si="2"/>
        <v>3033629</v>
      </c>
      <c r="Q15">
        <f t="shared" si="2"/>
        <v>0</v>
      </c>
      <c r="R15">
        <f t="shared" si="2"/>
        <v>4485484</v>
      </c>
      <c r="S15">
        <f t="shared" si="0"/>
        <v>67662279</v>
      </c>
      <c r="T15">
        <f t="shared" si="1"/>
        <v>119762795</v>
      </c>
    </row>
    <row r="16" spans="1:20" ht="23.25">
      <c r="A16"/>
      <c r="B16"/>
      <c r="C16">
        <f>C15+D15</f>
        <v>54316462</v>
      </c>
      <c r="D16"/>
      <c r="E16">
        <f>E15+F15</f>
        <v>48427255</v>
      </c>
      <c r="F16"/>
      <c r="G16">
        <f>G15+H15</f>
        <v>8468384</v>
      </c>
      <c r="H16"/>
      <c r="I16">
        <f>I15+J15</f>
        <v>23727258</v>
      </c>
      <c r="J16"/>
      <c r="K16">
        <f>K15+L15</f>
        <v>13632582</v>
      </c>
      <c r="L16"/>
      <c r="M16">
        <f>M15+N15</f>
        <v>13689771</v>
      </c>
      <c r="N16"/>
      <c r="O16">
        <f>O15+P15</f>
        <v>20677878</v>
      </c>
      <c r="P16"/>
      <c r="Q16">
        <f>Q15+R15</f>
        <v>4485484</v>
      </c>
      <c r="R16"/>
      <c r="S16">
        <f>S15+T15</f>
        <v>187425074</v>
      </c>
      <c r="T16"/>
    </row>
    <row r="23" ht="23.25">
      <c r="L23" s="3">
        <f>N9-M9</f>
        <v>5499310</v>
      </c>
    </row>
    <row r="26" ht="23.25">
      <c r="P26" s="3">
        <f>(N9+N10)-M9</f>
        <v>7203063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0"/>
  <sheetViews>
    <sheetView rightToLeft="1" tabSelected="1" view="pageBreakPreview" zoomScale="55" zoomScaleNormal="55" zoomScaleSheetLayoutView="55" zoomScalePageLayoutView="0" workbookViewId="0" topLeftCell="A37">
      <selection activeCell="C81" sqref="C81:E81"/>
    </sheetView>
  </sheetViews>
  <sheetFormatPr defaultColWidth="11.421875" defaultRowHeight="19.5" customHeight="1"/>
  <cols>
    <col min="1" max="1" width="10.28125" style="0" customWidth="1"/>
    <col min="2" max="2" width="11.421875" style="0" customWidth="1"/>
    <col min="3" max="3" width="14.421875" style="0" customWidth="1"/>
    <col min="4" max="4" width="14.28125" style="0" bestFit="1" customWidth="1"/>
    <col min="5" max="5" width="21.140625" style="0" customWidth="1"/>
    <col min="6" max="6" width="20.7109375" style="0" customWidth="1"/>
    <col min="7" max="7" width="24.421875" style="0" customWidth="1"/>
    <col min="8" max="8" width="23.57421875" style="0" customWidth="1"/>
    <col min="9" max="9" width="24.140625" style="0" customWidth="1"/>
    <col min="10" max="11" width="21.57421875" style="0" customWidth="1"/>
    <col min="12" max="14" width="19.8515625" style="0" customWidth="1"/>
    <col min="15" max="15" width="21.140625" style="0" customWidth="1"/>
    <col min="16" max="16" width="21.28125" style="0" customWidth="1"/>
    <col min="17" max="17" width="13.28125" style="0" bestFit="1" customWidth="1"/>
    <col min="18" max="19" width="14.28125" style="0" bestFit="1" customWidth="1"/>
    <col min="20" max="20" width="12.8515625" style="0" bestFit="1" customWidth="1"/>
    <col min="21" max="21" width="13.7109375" style="0" bestFit="1" customWidth="1"/>
    <col min="22" max="22" width="13.28125" style="0" bestFit="1" customWidth="1"/>
    <col min="23" max="23" width="15.421875" style="0" customWidth="1"/>
    <col min="24" max="24" width="18.140625" style="0" customWidth="1"/>
    <col min="25" max="25" width="12.00390625" style="0" bestFit="1" customWidth="1"/>
  </cols>
  <sheetData>
    <row r="1" spans="1:24" ht="15">
      <c r="A1" s="92" t="s">
        <v>65</v>
      </c>
      <c r="B1" s="92"/>
      <c r="C1" s="92"/>
      <c r="D1" s="92"/>
      <c r="E1" s="92"/>
      <c r="F1" s="13"/>
      <c r="G1" s="13"/>
      <c r="H1" s="93" t="s">
        <v>66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">
      <c r="A2" s="98" t="s">
        <v>41</v>
      </c>
      <c r="B2" s="98"/>
      <c r="C2" s="98"/>
      <c r="D2" s="98"/>
      <c r="E2" s="23"/>
      <c r="F2" s="23"/>
      <c r="G2" s="14"/>
      <c r="H2" s="93" t="s">
        <v>42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8" ht="15">
      <c r="A3" s="15"/>
      <c r="B3" s="15"/>
      <c r="C3" s="14"/>
      <c r="D3" s="14"/>
      <c r="E3" s="22"/>
      <c r="F3" s="22"/>
      <c r="G3" s="14"/>
      <c r="H3" s="13"/>
    </row>
    <row r="4" spans="1:24" ht="15.75" thickBot="1">
      <c r="A4" s="99" t="s">
        <v>43</v>
      </c>
      <c r="B4" s="99"/>
      <c r="C4" s="99"/>
      <c r="D4" s="99"/>
      <c r="E4" s="99"/>
      <c r="F4" s="99"/>
      <c r="G4" s="99"/>
      <c r="H4" s="97" t="s">
        <v>44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ht="15">
      <c r="A5" s="94">
        <v>43921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24" ht="19.5" customHeight="1">
      <c r="A6" s="85" t="s">
        <v>6</v>
      </c>
      <c r="B6" s="85"/>
      <c r="C6" s="84" t="s">
        <v>5</v>
      </c>
      <c r="D6" s="84"/>
      <c r="E6" s="84" t="s">
        <v>45</v>
      </c>
      <c r="F6" s="84"/>
      <c r="G6" s="84" t="s">
        <v>10</v>
      </c>
      <c r="H6" s="84"/>
      <c r="I6" s="84" t="s">
        <v>11</v>
      </c>
      <c r="J6" s="84"/>
      <c r="K6" s="84" t="s">
        <v>12</v>
      </c>
      <c r="L6" s="84"/>
      <c r="M6" s="84" t="s">
        <v>62</v>
      </c>
      <c r="N6" s="84"/>
      <c r="O6" s="84" t="s">
        <v>13</v>
      </c>
      <c r="P6" s="84"/>
      <c r="Q6" s="84" t="s">
        <v>14</v>
      </c>
      <c r="R6" s="84"/>
      <c r="S6" s="84" t="s">
        <v>15</v>
      </c>
      <c r="T6" s="84"/>
      <c r="U6" s="84" t="s">
        <v>16</v>
      </c>
      <c r="V6" s="84"/>
      <c r="W6" s="84" t="s">
        <v>17</v>
      </c>
      <c r="X6" s="84"/>
    </row>
    <row r="7" spans="1:24" ht="19.5" customHeight="1" thickBot="1">
      <c r="A7" s="17"/>
      <c r="B7" s="17"/>
      <c r="C7" s="18" t="s">
        <v>1</v>
      </c>
      <c r="D7" s="18" t="s">
        <v>2</v>
      </c>
      <c r="E7" s="18" t="s">
        <v>1</v>
      </c>
      <c r="F7" s="18" t="s">
        <v>2</v>
      </c>
      <c r="G7" s="18" t="s">
        <v>1</v>
      </c>
      <c r="H7" s="18" t="s">
        <v>2</v>
      </c>
      <c r="I7" s="18" t="s">
        <v>1</v>
      </c>
      <c r="J7" s="18" t="s">
        <v>2</v>
      </c>
      <c r="K7" s="18" t="s">
        <v>1</v>
      </c>
      <c r="L7" s="18" t="s">
        <v>2</v>
      </c>
      <c r="M7" s="18" t="s">
        <v>1</v>
      </c>
      <c r="N7" s="18" t="s">
        <v>2</v>
      </c>
      <c r="O7" s="18" t="s">
        <v>1</v>
      </c>
      <c r="P7" s="18" t="s">
        <v>2</v>
      </c>
      <c r="Q7" s="18" t="s">
        <v>1</v>
      </c>
      <c r="R7" s="18" t="s">
        <v>2</v>
      </c>
      <c r="S7" s="18" t="s">
        <v>1</v>
      </c>
      <c r="T7" s="18" t="s">
        <v>2</v>
      </c>
      <c r="U7" s="18" t="s">
        <v>1</v>
      </c>
      <c r="V7" s="18" t="s">
        <v>2</v>
      </c>
      <c r="W7" s="18" t="s">
        <v>1</v>
      </c>
      <c r="X7" s="18" t="s">
        <v>2</v>
      </c>
    </row>
    <row r="8" spans="1:24" ht="19.5" customHeight="1">
      <c r="A8" s="87" t="s">
        <v>40</v>
      </c>
      <c r="B8" s="7" t="s">
        <v>3</v>
      </c>
      <c r="C8" s="10">
        <v>9332438</v>
      </c>
      <c r="D8" s="10">
        <v>14236997</v>
      </c>
      <c r="E8" s="10"/>
      <c r="F8" s="10">
        <f>12013898+56950</f>
        <v>12070848</v>
      </c>
      <c r="G8" s="10">
        <v>0</v>
      </c>
      <c r="H8" s="10">
        <v>4648698</v>
      </c>
      <c r="I8" s="10">
        <v>250000</v>
      </c>
      <c r="J8" s="10">
        <v>0</v>
      </c>
      <c r="K8" s="10">
        <v>0</v>
      </c>
      <c r="L8" s="10">
        <v>292174</v>
      </c>
      <c r="M8" s="10">
        <v>0</v>
      </c>
      <c r="N8" s="10">
        <v>3131638</v>
      </c>
      <c r="O8" s="10">
        <v>1258279</v>
      </c>
      <c r="P8" s="10">
        <v>2935985</v>
      </c>
      <c r="Q8" s="10">
        <f>1480009.54561138-70612</f>
        <v>1409397.54561138</v>
      </c>
      <c r="R8" s="10">
        <v>694997.4543886216</v>
      </c>
      <c r="S8" s="10">
        <v>0</v>
      </c>
      <c r="T8" s="10">
        <v>0</v>
      </c>
      <c r="U8" s="10">
        <v>2465022</v>
      </c>
      <c r="V8" s="10">
        <v>0</v>
      </c>
      <c r="W8" s="10">
        <f>C8+G8+I8+K8+O8+Q8+S8+U8+E8+M8</f>
        <v>14715136.54561138</v>
      </c>
      <c r="X8" s="10">
        <f aca="true" t="shared" si="0" ref="X8:X17">D8+H8+J8+L8+P8+R8+T8+V8+F8+N8</f>
        <v>38011337.45438862</v>
      </c>
    </row>
    <row r="9" spans="1:24" ht="19.5" customHeight="1">
      <c r="A9" s="88"/>
      <c r="B9" s="7" t="s">
        <v>4</v>
      </c>
      <c r="C9" s="10">
        <v>0</v>
      </c>
      <c r="D9" s="10">
        <v>0</v>
      </c>
      <c r="E9" s="10">
        <v>0</v>
      </c>
      <c r="F9" s="10">
        <v>2170</v>
      </c>
      <c r="G9" s="10">
        <v>1661613.8947943235</v>
      </c>
      <c r="H9" s="10">
        <v>3482957</v>
      </c>
      <c r="I9" s="10">
        <v>0</v>
      </c>
      <c r="J9" s="10">
        <v>999168</v>
      </c>
      <c r="K9" s="10"/>
      <c r="L9" s="10">
        <v>0</v>
      </c>
      <c r="M9" s="10">
        <v>0</v>
      </c>
      <c r="N9" s="10">
        <v>0</v>
      </c>
      <c r="O9" s="10">
        <v>0</v>
      </c>
      <c r="P9" s="10">
        <v>165025</v>
      </c>
      <c r="Q9" s="10">
        <v>0</v>
      </c>
      <c r="R9" s="10">
        <v>1098968</v>
      </c>
      <c r="S9" s="10">
        <v>0</v>
      </c>
      <c r="T9" s="10">
        <v>0</v>
      </c>
      <c r="U9" s="10">
        <v>0</v>
      </c>
      <c r="V9" s="10">
        <v>0</v>
      </c>
      <c r="W9" s="10">
        <f aca="true" t="shared" si="1" ref="W9:W17">C9+G9+I9+K9+O9+Q9+S9+U9+E9+M9</f>
        <v>1661613.8947943235</v>
      </c>
      <c r="X9" s="10">
        <f t="shared" si="0"/>
        <v>5748288</v>
      </c>
    </row>
    <row r="10" spans="1:24" ht="19.5" customHeight="1">
      <c r="A10" s="91" t="s">
        <v>0</v>
      </c>
      <c r="B10" s="8" t="s">
        <v>3</v>
      </c>
      <c r="C10" s="11">
        <v>0</v>
      </c>
      <c r="D10" s="11">
        <v>0</v>
      </c>
      <c r="E10" s="11">
        <v>3355</v>
      </c>
      <c r="F10" s="11">
        <v>0</v>
      </c>
      <c r="G10" s="11">
        <v>19140252</v>
      </c>
      <c r="H10" s="11">
        <v>0</v>
      </c>
      <c r="I10" s="11"/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/>
      <c r="P10" s="11">
        <v>0</v>
      </c>
      <c r="Q10" s="11">
        <v>70612</v>
      </c>
      <c r="R10" s="11">
        <v>0</v>
      </c>
      <c r="S10" s="11">
        <v>5998871</v>
      </c>
      <c r="T10" s="11">
        <v>0</v>
      </c>
      <c r="U10" s="11">
        <v>0</v>
      </c>
      <c r="V10" s="11">
        <v>0</v>
      </c>
      <c r="W10" s="29">
        <f t="shared" si="1"/>
        <v>25213090</v>
      </c>
      <c r="X10" s="24">
        <f t="shared" si="0"/>
        <v>0</v>
      </c>
    </row>
    <row r="11" spans="1:24" ht="19.5" customHeight="1">
      <c r="A11" s="91"/>
      <c r="B11" s="9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29">
        <f t="shared" si="1"/>
        <v>0</v>
      </c>
      <c r="X11" s="24">
        <f t="shared" si="0"/>
        <v>0</v>
      </c>
    </row>
    <row r="12" spans="1:24" ht="19.5" customHeight="1">
      <c r="A12" s="88" t="s">
        <v>7</v>
      </c>
      <c r="B12" s="7" t="s">
        <v>3</v>
      </c>
      <c r="C12" s="10">
        <v>0</v>
      </c>
      <c r="D12" s="10">
        <v>16544124</v>
      </c>
      <c r="E12" s="10">
        <v>1956017</v>
      </c>
      <c r="F12" s="10">
        <v>2860077</v>
      </c>
      <c r="G12" s="10">
        <v>0</v>
      </c>
      <c r="H12" s="10">
        <v>20972580</v>
      </c>
      <c r="I12" s="10">
        <v>0</v>
      </c>
      <c r="J12" s="10">
        <v>13516495</v>
      </c>
      <c r="K12" s="10">
        <v>0</v>
      </c>
      <c r="L12" s="10">
        <v>13466102</v>
      </c>
      <c r="M12" s="10">
        <v>0</v>
      </c>
      <c r="N12" s="10">
        <v>0</v>
      </c>
      <c r="O12" s="10">
        <v>0</v>
      </c>
      <c r="P12" s="10">
        <v>7297987</v>
      </c>
      <c r="Q12" s="10">
        <v>0</v>
      </c>
      <c r="R12" s="10">
        <v>16550500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1"/>
        <v>1956017</v>
      </c>
      <c r="X12" s="10">
        <f t="shared" si="0"/>
        <v>91207865</v>
      </c>
    </row>
    <row r="13" spans="1:24" ht="19.5" customHeight="1">
      <c r="A13" s="88"/>
      <c r="B13" s="7" t="s">
        <v>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1118262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0</v>
      </c>
      <c r="X13" s="10">
        <f t="shared" si="0"/>
        <v>1118262</v>
      </c>
    </row>
    <row r="14" spans="1:24" ht="19.5" customHeight="1">
      <c r="A14" s="91" t="s">
        <v>8</v>
      </c>
      <c r="B14" s="8" t="s">
        <v>3</v>
      </c>
      <c r="C14" s="12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4">
        <f t="shared" si="1"/>
        <v>0</v>
      </c>
      <c r="X14" s="24">
        <f t="shared" si="0"/>
        <v>0</v>
      </c>
    </row>
    <row r="15" spans="1:24" ht="19.5" customHeight="1">
      <c r="A15" s="91"/>
      <c r="B15" s="9" t="s">
        <v>4</v>
      </c>
      <c r="C15" s="12">
        <v>0</v>
      </c>
      <c r="D15" s="11">
        <v>11270087</v>
      </c>
      <c r="E15" s="12">
        <v>0</v>
      </c>
      <c r="F15" s="12">
        <v>5886453</v>
      </c>
      <c r="G15" s="12">
        <v>3338124</v>
      </c>
      <c r="H15" s="12">
        <f>12528480-510585</f>
        <v>12017895</v>
      </c>
      <c r="I15" s="12">
        <v>0</v>
      </c>
      <c r="J15" s="12">
        <v>4774067</v>
      </c>
      <c r="K15" s="12">
        <v>0</v>
      </c>
      <c r="L15" s="12">
        <v>250000</v>
      </c>
      <c r="M15" s="12">
        <v>0</v>
      </c>
      <c r="N15" s="11">
        <v>2343000</v>
      </c>
      <c r="O15" s="12">
        <v>0</v>
      </c>
      <c r="P15" s="12">
        <v>13533108</v>
      </c>
      <c r="Q15" s="12">
        <v>0</v>
      </c>
      <c r="R15" s="12">
        <v>2745794</v>
      </c>
      <c r="S15" s="12">
        <v>0</v>
      </c>
      <c r="T15" s="12">
        <v>3852368</v>
      </c>
      <c r="U15" s="12">
        <v>0</v>
      </c>
      <c r="V15" s="12">
        <v>3260146</v>
      </c>
      <c r="W15" s="24">
        <f t="shared" si="1"/>
        <v>3338124</v>
      </c>
      <c r="X15" s="24">
        <f t="shared" si="0"/>
        <v>59932918</v>
      </c>
    </row>
    <row r="16" spans="1:24" ht="19.5" customHeight="1">
      <c r="A16" s="88" t="s">
        <v>9</v>
      </c>
      <c r="B16" s="7" t="s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333150</v>
      </c>
      <c r="U16" s="10">
        <v>0</v>
      </c>
      <c r="V16" s="10">
        <v>0</v>
      </c>
      <c r="W16" s="10">
        <f t="shared" si="1"/>
        <v>0</v>
      </c>
      <c r="X16" s="10">
        <f t="shared" si="0"/>
        <v>333150</v>
      </c>
    </row>
    <row r="17" spans="1:24" ht="19.5" customHeight="1">
      <c r="A17" s="88"/>
      <c r="B17" s="7" t="s">
        <v>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0</v>
      </c>
      <c r="X17" s="10">
        <f t="shared" si="0"/>
        <v>0</v>
      </c>
    </row>
    <row r="18" spans="1:24" ht="19.5" customHeight="1">
      <c r="A18" s="89" t="s">
        <v>19</v>
      </c>
      <c r="B18" s="19"/>
      <c r="C18" s="20">
        <f aca="true" t="shared" si="2" ref="C18:J18">SUM(C8:C17)</f>
        <v>9332438</v>
      </c>
      <c r="D18" s="20">
        <f t="shared" si="2"/>
        <v>42051208</v>
      </c>
      <c r="E18" s="20">
        <f t="shared" si="2"/>
        <v>1959372</v>
      </c>
      <c r="F18" s="20">
        <f t="shared" si="2"/>
        <v>20819548</v>
      </c>
      <c r="G18" s="20">
        <f t="shared" si="2"/>
        <v>24139989.894794323</v>
      </c>
      <c r="H18" s="20">
        <f t="shared" si="2"/>
        <v>41122130</v>
      </c>
      <c r="I18" s="20">
        <f t="shared" si="2"/>
        <v>250000</v>
      </c>
      <c r="J18" s="20">
        <f t="shared" si="2"/>
        <v>19289730</v>
      </c>
      <c r="K18" s="20">
        <f aca="true" t="shared" si="3" ref="K18:X18">SUM(K8:K17)</f>
        <v>0</v>
      </c>
      <c r="L18" s="20">
        <f t="shared" si="3"/>
        <v>14008276</v>
      </c>
      <c r="M18" s="20">
        <f t="shared" si="3"/>
        <v>0</v>
      </c>
      <c r="N18" s="20">
        <f t="shared" si="3"/>
        <v>5474638</v>
      </c>
      <c r="O18" s="20">
        <f t="shared" si="3"/>
        <v>1258279</v>
      </c>
      <c r="P18" s="20">
        <f t="shared" si="3"/>
        <v>23932105</v>
      </c>
      <c r="Q18" s="20">
        <f t="shared" si="3"/>
        <v>1480009.54561138</v>
      </c>
      <c r="R18" s="20">
        <f t="shared" si="3"/>
        <v>22208521.454388622</v>
      </c>
      <c r="S18" s="20">
        <f t="shared" si="3"/>
        <v>5998871</v>
      </c>
      <c r="T18" s="20">
        <f t="shared" si="3"/>
        <v>4185518</v>
      </c>
      <c r="U18" s="20">
        <f t="shared" si="3"/>
        <v>2465022</v>
      </c>
      <c r="V18" s="20">
        <f t="shared" si="3"/>
        <v>3260146</v>
      </c>
      <c r="W18" s="20">
        <f t="shared" si="3"/>
        <v>46883981.440405704</v>
      </c>
      <c r="X18" s="20">
        <f t="shared" si="3"/>
        <v>196351820.45438862</v>
      </c>
    </row>
    <row r="19" spans="1:24" ht="19.5" customHeight="1" thickBot="1">
      <c r="A19" s="90"/>
      <c r="B19" s="21"/>
      <c r="C19" s="86">
        <f>C18+D18</f>
        <v>51383646</v>
      </c>
      <c r="D19" s="86"/>
      <c r="E19" s="86">
        <f>E18+F18</f>
        <v>22778920</v>
      </c>
      <c r="F19" s="86"/>
      <c r="G19" s="86">
        <f>G18+H18</f>
        <v>65262119.89479432</v>
      </c>
      <c r="H19" s="86"/>
      <c r="I19" s="86">
        <f>I18+J18</f>
        <v>19539730</v>
      </c>
      <c r="J19" s="86"/>
      <c r="K19" s="86">
        <f>K18+L18</f>
        <v>14008276</v>
      </c>
      <c r="L19" s="86"/>
      <c r="M19" s="86">
        <f>M18+N18</f>
        <v>5474638</v>
      </c>
      <c r="N19" s="86"/>
      <c r="O19" s="86">
        <f>O18+P18</f>
        <v>25190384</v>
      </c>
      <c r="P19" s="86"/>
      <c r="Q19" s="86">
        <f>Q18+R18</f>
        <v>23688531.000000004</v>
      </c>
      <c r="R19" s="86"/>
      <c r="S19" s="86">
        <f>S18+T18</f>
        <v>10184389</v>
      </c>
      <c r="T19" s="86"/>
      <c r="U19" s="100">
        <f>U18+V18</f>
        <v>5725168</v>
      </c>
      <c r="V19" s="100"/>
      <c r="W19" s="100">
        <f>W18+X18</f>
        <v>243235801.89479432</v>
      </c>
      <c r="X19" s="100"/>
    </row>
    <row r="20" spans="1:24" ht="15" customHeight="1">
      <c r="A20" s="28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</row>
    <row r="21" spans="1:24" ht="15">
      <c r="A21" s="92" t="s">
        <v>67</v>
      </c>
      <c r="B21" s="92"/>
      <c r="C21" s="92"/>
      <c r="D21" s="92"/>
      <c r="E21" s="92"/>
      <c r="F21" s="13"/>
      <c r="G21" s="13"/>
      <c r="H21" s="93" t="s">
        <v>68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5">
      <c r="A22" s="98" t="s">
        <v>41</v>
      </c>
      <c r="B22" s="98"/>
      <c r="C22" s="98"/>
      <c r="D22" s="98"/>
      <c r="E22" s="39"/>
      <c r="F22" s="25"/>
      <c r="G22" s="38"/>
      <c r="H22" s="93" t="s">
        <v>42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8" ht="15">
      <c r="A23" s="15"/>
      <c r="B23" s="15"/>
      <c r="C23" s="26"/>
      <c r="D23" s="26"/>
      <c r="E23" s="26"/>
      <c r="F23" s="26"/>
      <c r="G23" s="26"/>
      <c r="H23" s="13"/>
    </row>
    <row r="24" spans="1:24" ht="15.75" thickBot="1">
      <c r="A24" s="99" t="s">
        <v>43</v>
      </c>
      <c r="B24" s="99"/>
      <c r="C24" s="99"/>
      <c r="D24" s="99"/>
      <c r="E24" s="99"/>
      <c r="F24" s="99"/>
      <c r="G24" s="99"/>
      <c r="H24" s="97" t="s">
        <v>44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ht="15">
      <c r="A25" s="94">
        <v>44012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</row>
    <row r="26" spans="1:24" ht="19.5" customHeight="1">
      <c r="A26" s="85" t="s">
        <v>6</v>
      </c>
      <c r="B26" s="85"/>
      <c r="C26" s="84" t="s">
        <v>5</v>
      </c>
      <c r="D26" s="84"/>
      <c r="E26" s="84" t="s">
        <v>45</v>
      </c>
      <c r="F26" s="84"/>
      <c r="G26" s="84" t="s">
        <v>10</v>
      </c>
      <c r="H26" s="84"/>
      <c r="I26" s="84" t="s">
        <v>11</v>
      </c>
      <c r="J26" s="84"/>
      <c r="K26" s="84" t="s">
        <v>12</v>
      </c>
      <c r="L26" s="84"/>
      <c r="M26" s="84" t="s">
        <v>62</v>
      </c>
      <c r="N26" s="84"/>
      <c r="O26" s="84" t="s">
        <v>13</v>
      </c>
      <c r="P26" s="84"/>
      <c r="Q26" s="84" t="s">
        <v>14</v>
      </c>
      <c r="R26" s="84"/>
      <c r="S26" s="84" t="s">
        <v>15</v>
      </c>
      <c r="T26" s="84"/>
      <c r="U26" s="84" t="s">
        <v>16</v>
      </c>
      <c r="V26" s="84"/>
      <c r="W26" s="84" t="s">
        <v>17</v>
      </c>
      <c r="X26" s="84"/>
    </row>
    <row r="27" spans="1:24" ht="19.5" customHeight="1" thickBot="1">
      <c r="A27" s="17"/>
      <c r="B27" s="17"/>
      <c r="C27" s="18" t="s">
        <v>1</v>
      </c>
      <c r="D27" s="18" t="s">
        <v>2</v>
      </c>
      <c r="E27" s="18" t="s">
        <v>1</v>
      </c>
      <c r="F27" s="18" t="s">
        <v>2</v>
      </c>
      <c r="G27" s="18" t="s">
        <v>1</v>
      </c>
      <c r="H27" s="18" t="s">
        <v>2</v>
      </c>
      <c r="I27" s="18" t="s">
        <v>1</v>
      </c>
      <c r="J27" s="18" t="s">
        <v>2</v>
      </c>
      <c r="K27" s="18" t="s">
        <v>1</v>
      </c>
      <c r="L27" s="18" t="s">
        <v>2</v>
      </c>
      <c r="M27" s="18" t="s">
        <v>1</v>
      </c>
      <c r="N27" s="18" t="s">
        <v>2</v>
      </c>
      <c r="O27" s="18" t="s">
        <v>1</v>
      </c>
      <c r="P27" s="18" t="s">
        <v>2</v>
      </c>
      <c r="Q27" s="18" t="s">
        <v>1</v>
      </c>
      <c r="R27" s="18" t="s">
        <v>2</v>
      </c>
      <c r="S27" s="18" t="s">
        <v>1</v>
      </c>
      <c r="T27" s="18" t="s">
        <v>2</v>
      </c>
      <c r="U27" s="18" t="s">
        <v>1</v>
      </c>
      <c r="V27" s="18" t="s">
        <v>2</v>
      </c>
      <c r="W27" s="18" t="s">
        <v>1</v>
      </c>
      <c r="X27" s="18" t="s">
        <v>2</v>
      </c>
    </row>
    <row r="28" spans="1:24" ht="19.5" customHeight="1">
      <c r="A28" s="87" t="s">
        <v>40</v>
      </c>
      <c r="B28" s="27" t="s">
        <v>3</v>
      </c>
      <c r="C28" s="48">
        <f>7608685.42830848+2672440+1294</f>
        <v>10282419.42830848</v>
      </c>
      <c r="D28" s="48">
        <v>14112649.014400564</v>
      </c>
      <c r="E28" s="48">
        <v>0</v>
      </c>
      <c r="F28" s="48">
        <f>11986434+65950</f>
        <v>12052384</v>
      </c>
      <c r="G28" s="48">
        <v>0</v>
      </c>
      <c r="H28" s="48">
        <f>3154840+1650896</f>
        <v>4805736</v>
      </c>
      <c r="I28" s="48">
        <v>250000</v>
      </c>
      <c r="J28" s="48">
        <v>0</v>
      </c>
      <c r="K28" s="48">
        <v>0</v>
      </c>
      <c r="L28" s="48">
        <v>283211</v>
      </c>
      <c r="M28" s="48">
        <v>0</v>
      </c>
      <c r="N28" s="48">
        <v>2897439</v>
      </c>
      <c r="O28" s="48">
        <v>1199102</v>
      </c>
      <c r="P28" s="48">
        <f>3955770-1199102</f>
        <v>2756668</v>
      </c>
      <c r="Q28" s="48">
        <f>1612607-66816</f>
        <v>1545791</v>
      </c>
      <c r="R28" s="48">
        <f>2279731-1612607</f>
        <v>667124</v>
      </c>
      <c r="S28" s="48">
        <v>0</v>
      </c>
      <c r="T28" s="48">
        <v>0</v>
      </c>
      <c r="U28" s="48">
        <v>1770529</v>
      </c>
      <c r="V28" s="48">
        <v>0</v>
      </c>
      <c r="W28" s="48">
        <f>C28+G28+I28+K28+O28+Q28+S28+U28+E28+M28</f>
        <v>15047841.42830848</v>
      </c>
      <c r="X28" s="48">
        <f>D28+H28+J28+L28+P28+R28+T28+V28+F28+N28</f>
        <v>37575211.014400564</v>
      </c>
    </row>
    <row r="29" spans="1:24" ht="19.5" customHeight="1">
      <c r="A29" s="88"/>
      <c r="B29" s="27" t="s">
        <v>4</v>
      </c>
      <c r="C29" s="48">
        <v>0</v>
      </c>
      <c r="D29" s="48">
        <v>0</v>
      </c>
      <c r="E29" s="48">
        <v>0</v>
      </c>
      <c r="F29" s="48">
        <v>2140</v>
      </c>
      <c r="G29" s="48">
        <v>2863985</v>
      </c>
      <c r="H29" s="48">
        <f>4785084.56082256+1547171-2863984</f>
        <v>3468271.5608225605</v>
      </c>
      <c r="I29" s="48">
        <v>0</v>
      </c>
      <c r="J29" s="48">
        <v>983433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152736</v>
      </c>
      <c r="Q29" s="48">
        <v>0</v>
      </c>
      <c r="R29" s="48">
        <v>980199</v>
      </c>
      <c r="S29" s="48">
        <v>0</v>
      </c>
      <c r="T29" s="48">
        <v>0</v>
      </c>
      <c r="U29" s="48">
        <v>0</v>
      </c>
      <c r="V29" s="48">
        <v>0</v>
      </c>
      <c r="W29" s="48">
        <f aca="true" t="shared" si="4" ref="W29:W37">C29+G29+I29+K29+O29+Q29+S29+U29+E29+M29</f>
        <v>2863985</v>
      </c>
      <c r="X29" s="48">
        <f aca="true" t="shared" si="5" ref="X29:X37">D29+H29+J29+L29+P29+R29+T29+V29+F29+N29</f>
        <v>5586779.56082256</v>
      </c>
    </row>
    <row r="30" spans="1:24" ht="19.5" customHeight="1">
      <c r="A30" s="91" t="s">
        <v>0</v>
      </c>
      <c r="B30" s="8" t="s">
        <v>3</v>
      </c>
      <c r="C30" s="49">
        <v>0</v>
      </c>
      <c r="D30" s="49">
        <v>0</v>
      </c>
      <c r="E30" s="49">
        <v>3355</v>
      </c>
      <c r="F30" s="49">
        <v>0</v>
      </c>
      <c r="G30" s="49">
        <v>20849742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66816</v>
      </c>
      <c r="R30" s="49">
        <v>0</v>
      </c>
      <c r="S30" s="49">
        <v>5319411</v>
      </c>
      <c r="T30" s="49">
        <v>0</v>
      </c>
      <c r="U30" s="49">
        <v>0</v>
      </c>
      <c r="V30" s="49">
        <v>0</v>
      </c>
      <c r="W30" s="49">
        <f t="shared" si="4"/>
        <v>26239324</v>
      </c>
      <c r="X30" s="49">
        <f t="shared" si="5"/>
        <v>0</v>
      </c>
    </row>
    <row r="31" spans="1:24" ht="19.5" customHeight="1">
      <c r="A31" s="91"/>
      <c r="B31" s="9" t="s">
        <v>4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4"/>
        <v>0</v>
      </c>
      <c r="X31" s="50">
        <f t="shared" si="5"/>
        <v>0</v>
      </c>
    </row>
    <row r="32" spans="1:24" ht="19.5" customHeight="1">
      <c r="A32" s="88" t="s">
        <v>7</v>
      </c>
      <c r="B32" s="27" t="s">
        <v>3</v>
      </c>
      <c r="C32" s="48">
        <v>0</v>
      </c>
      <c r="D32" s="48">
        <v>16544124</v>
      </c>
      <c r="E32" s="48">
        <v>1958461</v>
      </c>
      <c r="F32" s="48">
        <f>4818538-1958461</f>
        <v>2860077</v>
      </c>
      <c r="G32" s="48">
        <v>0</v>
      </c>
      <c r="H32" s="48">
        <v>20972900</v>
      </c>
      <c r="I32" s="48">
        <v>0</v>
      </c>
      <c r="J32" s="48">
        <v>13516603</v>
      </c>
      <c r="K32" s="48">
        <v>0</v>
      </c>
      <c r="L32" s="48">
        <v>13934487</v>
      </c>
      <c r="M32" s="48">
        <v>0</v>
      </c>
      <c r="N32" s="48">
        <v>0</v>
      </c>
      <c r="O32" s="48">
        <v>0</v>
      </c>
      <c r="P32" s="48">
        <v>7381406</v>
      </c>
      <c r="Q32" s="48">
        <v>0</v>
      </c>
      <c r="R32" s="48">
        <v>16224568</v>
      </c>
      <c r="S32" s="48">
        <v>0</v>
      </c>
      <c r="T32" s="48">
        <v>0</v>
      </c>
      <c r="U32" s="48">
        <v>0</v>
      </c>
      <c r="V32" s="48">
        <v>0</v>
      </c>
      <c r="W32" s="48">
        <f t="shared" si="4"/>
        <v>1958461</v>
      </c>
      <c r="X32" s="48">
        <f t="shared" si="5"/>
        <v>91434165</v>
      </c>
    </row>
    <row r="33" spans="1:24" ht="19.5" customHeight="1">
      <c r="A33" s="88"/>
      <c r="B33" s="27" t="s">
        <v>4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809451</v>
      </c>
      <c r="S33" s="48">
        <v>0</v>
      </c>
      <c r="T33" s="48">
        <v>0</v>
      </c>
      <c r="U33" s="48">
        <v>0</v>
      </c>
      <c r="V33" s="48">
        <v>0</v>
      </c>
      <c r="W33" s="48">
        <f t="shared" si="4"/>
        <v>0</v>
      </c>
      <c r="X33" s="48">
        <f t="shared" si="5"/>
        <v>809451</v>
      </c>
    </row>
    <row r="34" spans="1:24" ht="19.5" customHeight="1">
      <c r="A34" s="91" t="s">
        <v>8</v>
      </c>
      <c r="B34" s="8" t="s">
        <v>3</v>
      </c>
      <c r="C34" s="50">
        <v>0</v>
      </c>
      <c r="D34" s="49">
        <v>0</v>
      </c>
      <c r="E34" s="49">
        <v>0</v>
      </c>
      <c r="F34" s="49">
        <v>0</v>
      </c>
      <c r="G34" s="61">
        <v>0</v>
      </c>
      <c r="H34" s="62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f t="shared" si="4"/>
        <v>0</v>
      </c>
      <c r="X34" s="49">
        <f t="shared" si="5"/>
        <v>0</v>
      </c>
    </row>
    <row r="35" spans="1:24" ht="19.5" customHeight="1">
      <c r="A35" s="91"/>
      <c r="B35" s="9" t="s">
        <v>4</v>
      </c>
      <c r="C35" s="50">
        <v>0</v>
      </c>
      <c r="D35" s="50">
        <v>11599977</v>
      </c>
      <c r="E35" s="50">
        <v>0</v>
      </c>
      <c r="F35" s="50">
        <v>6007158</v>
      </c>
      <c r="G35" s="49">
        <v>1662900.2718373863</v>
      </c>
      <c r="H35" s="49">
        <v>10025124.728162613</v>
      </c>
      <c r="I35" s="50">
        <v>0</v>
      </c>
      <c r="J35" s="50">
        <v>4075000</v>
      </c>
      <c r="K35" s="50">
        <v>0</v>
      </c>
      <c r="L35" s="50">
        <v>250000</v>
      </c>
      <c r="M35" s="50">
        <v>0</v>
      </c>
      <c r="N35" s="49">
        <v>2367000</v>
      </c>
      <c r="O35" s="50">
        <v>0</v>
      </c>
      <c r="P35" s="50">
        <v>10488257</v>
      </c>
      <c r="Q35" s="50">
        <v>0</v>
      </c>
      <c r="R35" s="50">
        <v>2775302</v>
      </c>
      <c r="S35" s="50">
        <v>0</v>
      </c>
      <c r="T35" s="50">
        <v>3939241</v>
      </c>
      <c r="U35" s="50">
        <v>0</v>
      </c>
      <c r="V35" s="50">
        <v>3260146</v>
      </c>
      <c r="W35" s="50">
        <f t="shared" si="4"/>
        <v>1662900.2718373863</v>
      </c>
      <c r="X35" s="50">
        <f t="shared" si="5"/>
        <v>54787205.72816262</v>
      </c>
    </row>
    <row r="36" spans="1:24" ht="19.5" customHeight="1">
      <c r="A36" s="88" t="s">
        <v>9</v>
      </c>
      <c r="B36" s="27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321123</v>
      </c>
      <c r="U36" s="48">
        <v>0</v>
      </c>
      <c r="V36" s="48">
        <v>0</v>
      </c>
      <c r="W36" s="48">
        <f t="shared" si="4"/>
        <v>0</v>
      </c>
      <c r="X36" s="48">
        <f t="shared" si="5"/>
        <v>321123</v>
      </c>
    </row>
    <row r="37" spans="1:24" ht="19.5" customHeight="1">
      <c r="A37" s="88"/>
      <c r="B37" s="27" t="s">
        <v>4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f t="shared" si="4"/>
        <v>0</v>
      </c>
      <c r="X37" s="48">
        <f t="shared" si="5"/>
        <v>0</v>
      </c>
    </row>
    <row r="38" spans="1:24" ht="19.5" customHeight="1">
      <c r="A38" s="89" t="s">
        <v>19</v>
      </c>
      <c r="B38" s="28"/>
      <c r="C38" s="51">
        <f aca="true" t="shared" si="6" ref="C38:J38">SUM(C28:C37)</f>
        <v>10282419.42830848</v>
      </c>
      <c r="D38" s="51">
        <f t="shared" si="6"/>
        <v>42256750.014400564</v>
      </c>
      <c r="E38" s="51">
        <f t="shared" si="6"/>
        <v>1961816</v>
      </c>
      <c r="F38" s="51">
        <f t="shared" si="6"/>
        <v>20921759</v>
      </c>
      <c r="G38" s="51">
        <f t="shared" si="6"/>
        <v>25376627.271837387</v>
      </c>
      <c r="H38" s="51">
        <f t="shared" si="6"/>
        <v>39272032.28898518</v>
      </c>
      <c r="I38" s="51">
        <f t="shared" si="6"/>
        <v>250000</v>
      </c>
      <c r="J38" s="51">
        <f t="shared" si="6"/>
        <v>18575036</v>
      </c>
      <c r="K38" s="51">
        <f aca="true" t="shared" si="7" ref="K38:V38">SUM(K28:K37)</f>
        <v>0</v>
      </c>
      <c r="L38" s="51">
        <f t="shared" si="7"/>
        <v>14467698</v>
      </c>
      <c r="M38" s="51">
        <f t="shared" si="7"/>
        <v>0</v>
      </c>
      <c r="N38" s="51">
        <f t="shared" si="7"/>
        <v>5264439</v>
      </c>
      <c r="O38" s="51">
        <f t="shared" si="7"/>
        <v>1199102</v>
      </c>
      <c r="P38" s="51">
        <f t="shared" si="7"/>
        <v>20779067</v>
      </c>
      <c r="Q38" s="51">
        <f t="shared" si="7"/>
        <v>1612607</v>
      </c>
      <c r="R38" s="51">
        <f t="shared" si="7"/>
        <v>21456644</v>
      </c>
      <c r="S38" s="51">
        <f t="shared" si="7"/>
        <v>5319411</v>
      </c>
      <c r="T38" s="51">
        <f t="shared" si="7"/>
        <v>4260364</v>
      </c>
      <c r="U38" s="51">
        <f t="shared" si="7"/>
        <v>1770529</v>
      </c>
      <c r="V38" s="51">
        <f t="shared" si="7"/>
        <v>3260146</v>
      </c>
      <c r="W38" s="51">
        <f>C38+G38+I38+K38+O38+Q38+S38+U38+E38+M38</f>
        <v>47772511.70014587</v>
      </c>
      <c r="X38" s="51">
        <f>D38+H38+J38+L38+P38+R38+T38+V38+F38+N38</f>
        <v>190513935.30338573</v>
      </c>
    </row>
    <row r="39" spans="1:24" ht="19.5" customHeight="1" thickBot="1">
      <c r="A39" s="90"/>
      <c r="B39" s="21"/>
      <c r="C39" s="102">
        <f>C38+D38</f>
        <v>52539169.44270904</v>
      </c>
      <c r="D39" s="102"/>
      <c r="E39" s="102">
        <f>E38+F38</f>
        <v>22883575</v>
      </c>
      <c r="F39" s="102"/>
      <c r="G39" s="102">
        <f>G38+H38</f>
        <v>64648659.56082256</v>
      </c>
      <c r="H39" s="102"/>
      <c r="I39" s="102">
        <f>I38+J38</f>
        <v>18825036</v>
      </c>
      <c r="J39" s="102"/>
      <c r="K39" s="102">
        <f>K38+L38</f>
        <v>14467698</v>
      </c>
      <c r="L39" s="102"/>
      <c r="M39" s="102">
        <f>M38+N38</f>
        <v>5264439</v>
      </c>
      <c r="N39" s="102"/>
      <c r="O39" s="102">
        <f>O38+P38</f>
        <v>21978169</v>
      </c>
      <c r="P39" s="102"/>
      <c r="Q39" s="102">
        <f>Q38+R38</f>
        <v>23069251</v>
      </c>
      <c r="R39" s="102"/>
      <c r="S39" s="102">
        <f>S38+T38</f>
        <v>9579775</v>
      </c>
      <c r="T39" s="102"/>
      <c r="U39" s="101">
        <f>U38+V38</f>
        <v>5030675</v>
      </c>
      <c r="V39" s="101"/>
      <c r="W39" s="101">
        <f>W38+X38</f>
        <v>238286447.0035316</v>
      </c>
      <c r="X39" s="101"/>
    </row>
    <row r="40" spans="3:23" ht="19.5" customHeight="1">
      <c r="C40" s="36"/>
      <c r="V40" s="35"/>
      <c r="W40" s="37"/>
    </row>
    <row r="41" spans="1:24" ht="15">
      <c r="A41" s="92" t="s">
        <v>71</v>
      </c>
      <c r="B41" s="92"/>
      <c r="C41" s="92"/>
      <c r="D41" s="92"/>
      <c r="E41" s="92"/>
      <c r="F41" s="13"/>
      <c r="G41" s="13"/>
      <c r="H41" s="93" t="s">
        <v>72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4" ht="15">
      <c r="A42" s="98" t="s">
        <v>41</v>
      </c>
      <c r="B42" s="98"/>
      <c r="C42" s="98"/>
      <c r="D42" s="98"/>
      <c r="E42" s="39"/>
      <c r="F42" s="54"/>
      <c r="G42" s="38"/>
      <c r="H42" s="93" t="s">
        <v>42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8" ht="15">
      <c r="A43" s="15"/>
      <c r="B43" s="15"/>
      <c r="C43" s="53"/>
      <c r="D43" s="53"/>
      <c r="E43" s="53"/>
      <c r="F43" s="53"/>
      <c r="G43" s="53"/>
      <c r="H43" s="13"/>
    </row>
    <row r="44" spans="1:24" ht="15.75" thickBot="1">
      <c r="A44" s="99" t="s">
        <v>43</v>
      </c>
      <c r="B44" s="99"/>
      <c r="C44" s="99"/>
      <c r="D44" s="99"/>
      <c r="E44" s="99"/>
      <c r="F44" s="99"/>
      <c r="G44" s="99"/>
      <c r="H44" s="97" t="s">
        <v>44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ht="15">
      <c r="A45" s="94">
        <v>44104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6"/>
    </row>
    <row r="46" spans="1:24" ht="19.5" customHeight="1">
      <c r="A46" s="85" t="s">
        <v>6</v>
      </c>
      <c r="B46" s="85"/>
      <c r="C46" s="84" t="s">
        <v>5</v>
      </c>
      <c r="D46" s="84"/>
      <c r="E46" s="84" t="s">
        <v>45</v>
      </c>
      <c r="F46" s="84"/>
      <c r="G46" s="84" t="s">
        <v>10</v>
      </c>
      <c r="H46" s="84"/>
      <c r="I46" s="84" t="s">
        <v>11</v>
      </c>
      <c r="J46" s="84"/>
      <c r="K46" s="84" t="s">
        <v>12</v>
      </c>
      <c r="L46" s="84"/>
      <c r="M46" s="84" t="s">
        <v>62</v>
      </c>
      <c r="N46" s="84"/>
      <c r="O46" s="84" t="s">
        <v>13</v>
      </c>
      <c r="P46" s="84"/>
      <c r="Q46" s="84" t="s">
        <v>14</v>
      </c>
      <c r="R46" s="84"/>
      <c r="S46" s="84" t="s">
        <v>15</v>
      </c>
      <c r="T46" s="84"/>
      <c r="U46" s="84" t="s">
        <v>16</v>
      </c>
      <c r="V46" s="84"/>
      <c r="W46" s="84" t="s">
        <v>17</v>
      </c>
      <c r="X46" s="84"/>
    </row>
    <row r="47" spans="1:24" ht="19.5" customHeight="1" thickBot="1">
      <c r="A47" s="17"/>
      <c r="B47" s="17"/>
      <c r="C47" s="18" t="s">
        <v>1</v>
      </c>
      <c r="D47" s="18" t="s">
        <v>2</v>
      </c>
      <c r="E47" s="18" t="s">
        <v>1</v>
      </c>
      <c r="F47" s="18" t="s">
        <v>2</v>
      </c>
      <c r="G47" s="18" t="s">
        <v>1</v>
      </c>
      <c r="H47" s="18" t="s">
        <v>2</v>
      </c>
      <c r="I47" s="18" t="s">
        <v>1</v>
      </c>
      <c r="J47" s="18" t="s">
        <v>2</v>
      </c>
      <c r="K47" s="18" t="s">
        <v>1</v>
      </c>
      <c r="L47" s="18" t="s">
        <v>2</v>
      </c>
      <c r="M47" s="18" t="s">
        <v>1</v>
      </c>
      <c r="N47" s="18" t="s">
        <v>2</v>
      </c>
      <c r="O47" s="18" t="s">
        <v>1</v>
      </c>
      <c r="P47" s="18" t="s">
        <v>2</v>
      </c>
      <c r="Q47" s="18" t="s">
        <v>1</v>
      </c>
      <c r="R47" s="18" t="s">
        <v>2</v>
      </c>
      <c r="S47" s="18" t="s">
        <v>1</v>
      </c>
      <c r="T47" s="18" t="s">
        <v>2</v>
      </c>
      <c r="U47" s="18" t="s">
        <v>1</v>
      </c>
      <c r="V47" s="18" t="s">
        <v>2</v>
      </c>
      <c r="W47" s="18" t="s">
        <v>1</v>
      </c>
      <c r="X47" s="18" t="s">
        <v>2</v>
      </c>
    </row>
    <row r="48" spans="1:24" ht="19.5" customHeight="1">
      <c r="A48" s="87" t="s">
        <v>40</v>
      </c>
      <c r="B48" s="55" t="s">
        <v>3</v>
      </c>
      <c r="C48" s="48">
        <f>9609318.45408512+1286</f>
        <v>9610604.454085119</v>
      </c>
      <c r="D48" s="48">
        <v>14051352.494400563</v>
      </c>
      <c r="E48" s="48">
        <v>0</v>
      </c>
      <c r="F48" s="48">
        <f>12015928+56950</f>
        <v>12072878</v>
      </c>
      <c r="G48" s="48">
        <f>22776309+2408668</f>
        <v>25184977</v>
      </c>
      <c r="H48" s="48">
        <f>1519588+500000+776122</f>
        <v>2795710</v>
      </c>
      <c r="I48" s="48">
        <v>250000</v>
      </c>
      <c r="J48" s="48">
        <v>0</v>
      </c>
      <c r="K48" s="48">
        <v>0</v>
      </c>
      <c r="L48" s="48">
        <v>267602</v>
      </c>
      <c r="M48" s="48">
        <v>0</v>
      </c>
      <c r="N48" s="48">
        <v>2660756</v>
      </c>
      <c r="O48" s="48">
        <v>1139063.71</v>
      </c>
      <c r="P48" s="48">
        <v>2541197.31</v>
      </c>
      <c r="Q48" s="48">
        <f>1497082-70434</f>
        <v>1426648</v>
      </c>
      <c r="R48" s="48">
        <v>596792</v>
      </c>
      <c r="S48" s="48">
        <v>0</v>
      </c>
      <c r="T48" s="48">
        <v>0</v>
      </c>
      <c r="U48" s="48">
        <v>1787677</v>
      </c>
      <c r="V48" s="48">
        <v>0</v>
      </c>
      <c r="W48" s="48">
        <f>C48+G48+I48+K48+O48+Q48+S48+U48+E48+M48</f>
        <v>39398970.16408512</v>
      </c>
      <c r="X48" s="48">
        <f>D48+H48+J48+L48+P48+R48+T48+V48+F48+N48</f>
        <v>34986287.80440056</v>
      </c>
    </row>
    <row r="49" spans="1:24" ht="19.5" customHeight="1">
      <c r="A49" s="88"/>
      <c r="B49" s="55" t="s">
        <v>4</v>
      </c>
      <c r="C49" s="48">
        <v>0</v>
      </c>
      <c r="D49" s="48">
        <v>0</v>
      </c>
      <c r="E49" s="48">
        <v>0</v>
      </c>
      <c r="F49" s="48">
        <v>2154</v>
      </c>
      <c r="G49" s="48">
        <f>2530472+1667084</f>
        <v>4197556</v>
      </c>
      <c r="H49" s="48">
        <f>3665820</f>
        <v>3665820</v>
      </c>
      <c r="I49" s="48">
        <v>0</v>
      </c>
      <c r="J49" s="48">
        <v>922359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131669</v>
      </c>
      <c r="Q49" s="48">
        <v>0</v>
      </c>
      <c r="R49" s="48">
        <v>892857</v>
      </c>
      <c r="S49" s="48">
        <v>0</v>
      </c>
      <c r="T49" s="48">
        <v>0</v>
      </c>
      <c r="U49" s="48">
        <v>0</v>
      </c>
      <c r="V49" s="48">
        <v>0</v>
      </c>
      <c r="W49" s="48">
        <f aca="true" t="shared" si="8" ref="W49:W57">C49+G49+I49+K49+O49+Q49+S49+U49+E49+M49</f>
        <v>4197556</v>
      </c>
      <c r="X49" s="48">
        <f aca="true" t="shared" si="9" ref="X49:X58">D49+H49+J49+L49+P49+R49+T49+V49+F49+N49</f>
        <v>5614859</v>
      </c>
    </row>
    <row r="50" spans="1:24" ht="19.5" customHeight="1">
      <c r="A50" s="91" t="s">
        <v>0</v>
      </c>
      <c r="B50" s="8" t="s">
        <v>3</v>
      </c>
      <c r="C50" s="49">
        <v>0</v>
      </c>
      <c r="D50" s="49">
        <v>0</v>
      </c>
      <c r="E50" s="49">
        <v>5273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70434</v>
      </c>
      <c r="R50" s="49">
        <v>0</v>
      </c>
      <c r="S50" s="49">
        <v>5237235</v>
      </c>
      <c r="T50" s="49">
        <v>0</v>
      </c>
      <c r="U50" s="49">
        <v>0</v>
      </c>
      <c r="V50" s="49">
        <v>0</v>
      </c>
      <c r="W50" s="49">
        <f t="shared" si="8"/>
        <v>5312942</v>
      </c>
      <c r="X50" s="49">
        <f t="shared" si="9"/>
        <v>0</v>
      </c>
    </row>
    <row r="51" spans="1:24" ht="19.5" customHeight="1">
      <c r="A51" s="91"/>
      <c r="B51" s="9" t="s">
        <v>4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f t="shared" si="8"/>
        <v>0</v>
      </c>
      <c r="X51" s="50">
        <f t="shared" si="9"/>
        <v>0</v>
      </c>
    </row>
    <row r="52" spans="1:24" ht="19.5" customHeight="1">
      <c r="A52" s="88" t="s">
        <v>7</v>
      </c>
      <c r="B52" s="55" t="s">
        <v>3</v>
      </c>
      <c r="C52" s="48">
        <v>0</v>
      </c>
      <c r="D52" s="48">
        <v>16544124</v>
      </c>
      <c r="E52" s="48">
        <v>1969871</v>
      </c>
      <c r="F52" s="48">
        <v>3251637</v>
      </c>
      <c r="G52" s="48">
        <v>0</v>
      </c>
      <c r="H52" s="48">
        <v>19494629</v>
      </c>
      <c r="I52" s="48">
        <v>0</v>
      </c>
      <c r="J52" s="48">
        <v>13517175</v>
      </c>
      <c r="K52" s="48">
        <v>0</v>
      </c>
      <c r="L52" s="48">
        <v>13934487</v>
      </c>
      <c r="M52" s="48">
        <v>0</v>
      </c>
      <c r="N52" s="48">
        <v>0</v>
      </c>
      <c r="O52" s="48">
        <v>0</v>
      </c>
      <c r="P52" s="48">
        <v>7381406</v>
      </c>
      <c r="Q52" s="48">
        <v>0</v>
      </c>
      <c r="R52" s="48">
        <v>16243378</v>
      </c>
      <c r="S52" s="48">
        <v>0</v>
      </c>
      <c r="T52" s="48">
        <v>0</v>
      </c>
      <c r="U52" s="48">
        <v>0</v>
      </c>
      <c r="V52" s="48">
        <v>0</v>
      </c>
      <c r="W52" s="48">
        <f t="shared" si="8"/>
        <v>1969871</v>
      </c>
      <c r="X52" s="48">
        <f t="shared" si="9"/>
        <v>90366836</v>
      </c>
    </row>
    <row r="53" spans="1:24" ht="19.5" customHeight="1">
      <c r="A53" s="88"/>
      <c r="B53" s="55" t="s">
        <v>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f t="shared" si="8"/>
        <v>0</v>
      </c>
      <c r="X53" s="48">
        <f t="shared" si="9"/>
        <v>0</v>
      </c>
    </row>
    <row r="54" spans="1:24" ht="19.5" customHeight="1">
      <c r="A54" s="91" t="s">
        <v>8</v>
      </c>
      <c r="B54" s="8" t="s">
        <v>3</v>
      </c>
      <c r="C54" s="50">
        <v>0</v>
      </c>
      <c r="D54" s="49">
        <v>0</v>
      </c>
      <c r="E54" s="49">
        <v>0</v>
      </c>
      <c r="F54" s="49">
        <v>0</v>
      </c>
      <c r="G54" s="62">
        <v>0</v>
      </c>
      <c r="H54" s="62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f t="shared" si="8"/>
        <v>0</v>
      </c>
      <c r="X54" s="49">
        <f t="shared" si="9"/>
        <v>0</v>
      </c>
    </row>
    <row r="55" spans="1:26" ht="19.5" customHeight="1">
      <c r="A55" s="91"/>
      <c r="B55" s="9" t="s">
        <v>4</v>
      </c>
      <c r="C55" s="50">
        <v>0</v>
      </c>
      <c r="D55" s="50">
        <v>10750777</v>
      </c>
      <c r="E55" s="50">
        <v>0</v>
      </c>
      <c r="F55" s="50">
        <v>4916392</v>
      </c>
      <c r="G55" s="49">
        <f>1662900</f>
        <v>1662900</v>
      </c>
      <c r="H55" s="49">
        <f>9642319-137685-28001</f>
        <v>9476633</v>
      </c>
      <c r="I55" s="50">
        <v>0</v>
      </c>
      <c r="J55" s="50">
        <v>4075000</v>
      </c>
      <c r="K55" s="50">
        <v>0</v>
      </c>
      <c r="L55" s="50">
        <v>250000</v>
      </c>
      <c r="M55" s="50">
        <v>0</v>
      </c>
      <c r="N55" s="49">
        <v>3381500</v>
      </c>
      <c r="O55" s="50">
        <v>0</v>
      </c>
      <c r="P55" s="50">
        <v>14147901</v>
      </c>
      <c r="Q55" s="50">
        <v>0</v>
      </c>
      <c r="R55" s="50">
        <f>2775302+782803</f>
        <v>3558105</v>
      </c>
      <c r="S55" s="50">
        <v>0</v>
      </c>
      <c r="T55" s="50">
        <v>3946599</v>
      </c>
      <c r="U55" s="50">
        <v>0</v>
      </c>
      <c r="V55" s="50">
        <f>1348006</f>
        <v>1348006</v>
      </c>
      <c r="W55" s="50">
        <f t="shared" si="8"/>
        <v>1662900</v>
      </c>
      <c r="X55" s="50">
        <f t="shared" si="9"/>
        <v>55850913</v>
      </c>
      <c r="Y55" s="59"/>
      <c r="Z55" s="59"/>
    </row>
    <row r="56" spans="1:24" ht="19.5" customHeight="1">
      <c r="A56" s="88" t="s">
        <v>9</v>
      </c>
      <c r="B56" s="55" t="s">
        <v>3</v>
      </c>
      <c r="C56" s="48">
        <v>0</v>
      </c>
      <c r="D56" s="48">
        <v>0</v>
      </c>
      <c r="E56" s="48">
        <v>0</v>
      </c>
      <c r="F56" s="48">
        <v>608440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322399</v>
      </c>
      <c r="U56" s="48">
        <v>0</v>
      </c>
      <c r="V56" s="48">
        <v>0</v>
      </c>
      <c r="W56" s="48">
        <f t="shared" si="8"/>
        <v>0</v>
      </c>
      <c r="X56" s="48">
        <f t="shared" si="9"/>
        <v>930839</v>
      </c>
    </row>
    <row r="57" spans="1:24" ht="19.5" customHeight="1">
      <c r="A57" s="88"/>
      <c r="B57" s="55" t="s">
        <v>4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f t="shared" si="8"/>
        <v>0</v>
      </c>
      <c r="X57" s="48">
        <f t="shared" si="9"/>
        <v>0</v>
      </c>
    </row>
    <row r="58" spans="1:24" ht="19.5" customHeight="1">
      <c r="A58" s="89" t="s">
        <v>19</v>
      </c>
      <c r="B58" s="56"/>
      <c r="C58" s="51">
        <f aca="true" t="shared" si="10" ref="C58:J58">SUM(C48:C57)</f>
        <v>9610604.454085119</v>
      </c>
      <c r="D58" s="51">
        <f t="shared" si="10"/>
        <v>41346253.49440056</v>
      </c>
      <c r="E58" s="51">
        <f t="shared" si="10"/>
        <v>1975144</v>
      </c>
      <c r="F58" s="51">
        <f t="shared" si="10"/>
        <v>20851501</v>
      </c>
      <c r="G58" s="51">
        <f t="shared" si="10"/>
        <v>31045433</v>
      </c>
      <c r="H58" s="51">
        <f t="shared" si="10"/>
        <v>35432792</v>
      </c>
      <c r="I58" s="51">
        <f t="shared" si="10"/>
        <v>250000</v>
      </c>
      <c r="J58" s="51">
        <f t="shared" si="10"/>
        <v>18514534</v>
      </c>
      <c r="K58" s="51">
        <f aca="true" t="shared" si="11" ref="K58:V58">SUM(K48:K57)</f>
        <v>0</v>
      </c>
      <c r="L58" s="51">
        <f t="shared" si="11"/>
        <v>14452089</v>
      </c>
      <c r="M58" s="51">
        <f t="shared" si="11"/>
        <v>0</v>
      </c>
      <c r="N58" s="51">
        <f t="shared" si="11"/>
        <v>6042256</v>
      </c>
      <c r="O58" s="51">
        <f t="shared" si="11"/>
        <v>1139063.71</v>
      </c>
      <c r="P58" s="51">
        <f t="shared" si="11"/>
        <v>24202173.310000002</v>
      </c>
      <c r="Q58" s="51">
        <f t="shared" si="11"/>
        <v>1497082</v>
      </c>
      <c r="R58" s="51">
        <f t="shared" si="11"/>
        <v>21291132</v>
      </c>
      <c r="S58" s="51">
        <f t="shared" si="11"/>
        <v>5237235</v>
      </c>
      <c r="T58" s="51">
        <f t="shared" si="11"/>
        <v>4268998</v>
      </c>
      <c r="U58" s="51">
        <f t="shared" si="11"/>
        <v>1787677</v>
      </c>
      <c r="V58" s="51">
        <f t="shared" si="11"/>
        <v>1348006</v>
      </c>
      <c r="W58" s="51">
        <f>C58+G58+I58+K58+O58+Q58+S58+U58+E58+M58</f>
        <v>52542239.16408512</v>
      </c>
      <c r="X58" s="51">
        <f t="shared" si="9"/>
        <v>187749734.80440056</v>
      </c>
    </row>
    <row r="59" spans="1:24" ht="19.5" customHeight="1" thickBot="1">
      <c r="A59" s="90"/>
      <c r="B59" s="21"/>
      <c r="C59" s="102">
        <f>C58+D58</f>
        <v>50956857.94848568</v>
      </c>
      <c r="D59" s="102"/>
      <c r="E59" s="102">
        <f>E58+F58</f>
        <v>22826645</v>
      </c>
      <c r="F59" s="102"/>
      <c r="G59" s="102">
        <f>G58+H58</f>
        <v>66478225</v>
      </c>
      <c r="H59" s="102"/>
      <c r="I59" s="102">
        <f>I58+J58</f>
        <v>18764534</v>
      </c>
      <c r="J59" s="102"/>
      <c r="K59" s="102">
        <f>K58+L58</f>
        <v>14452089</v>
      </c>
      <c r="L59" s="102"/>
      <c r="M59" s="102">
        <f>M58+N58</f>
        <v>6042256</v>
      </c>
      <c r="N59" s="102"/>
      <c r="O59" s="102">
        <f>O58+P58</f>
        <v>25341237.020000003</v>
      </c>
      <c r="P59" s="102"/>
      <c r="Q59" s="102">
        <f>Q58+R58</f>
        <v>22788214</v>
      </c>
      <c r="R59" s="102"/>
      <c r="S59" s="102">
        <f>S58+T58</f>
        <v>9506233</v>
      </c>
      <c r="T59" s="102"/>
      <c r="U59" s="101">
        <f>U58+V58</f>
        <v>3135683</v>
      </c>
      <c r="V59" s="101"/>
      <c r="W59" s="101">
        <f>W58+X58</f>
        <v>240291973.96848568</v>
      </c>
      <c r="X59" s="101"/>
    </row>
    <row r="60" spans="15:18" ht="19.5" customHeight="1">
      <c r="O60" s="41"/>
      <c r="P60" s="42"/>
      <c r="Q60" s="42"/>
      <c r="R60" s="42"/>
    </row>
    <row r="61" spans="1:25" ht="19.5" customHeight="1">
      <c r="A61" s="92" t="s">
        <v>75</v>
      </c>
      <c r="B61" s="92"/>
      <c r="C61" s="92"/>
      <c r="D61" s="92"/>
      <c r="E61" s="92"/>
      <c r="F61" s="13"/>
      <c r="G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 t="s">
        <v>73</v>
      </c>
      <c r="Y61" s="13"/>
    </row>
    <row r="62" spans="1:25" ht="23.25" customHeight="1">
      <c r="A62" s="98" t="s">
        <v>41</v>
      </c>
      <c r="B62" s="98"/>
      <c r="C62" s="98"/>
      <c r="D62" s="98"/>
      <c r="E62" s="39"/>
      <c r="F62" s="66"/>
      <c r="G62" s="38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 t="s">
        <v>42</v>
      </c>
      <c r="Y62" s="13"/>
    </row>
    <row r="63" spans="1:20" ht="19.5" customHeight="1">
      <c r="A63" s="15"/>
      <c r="B63" s="15"/>
      <c r="C63" s="65"/>
      <c r="D63" s="65"/>
      <c r="E63" s="65"/>
      <c r="F63" s="65"/>
      <c r="G63" s="65"/>
      <c r="H63" s="13"/>
      <c r="P63" s="37"/>
      <c r="R63" s="59"/>
      <c r="T63" s="60"/>
    </row>
    <row r="64" spans="1:30" ht="19.5" customHeight="1" thickBot="1">
      <c r="A64" s="99" t="s">
        <v>43</v>
      </c>
      <c r="B64" s="99"/>
      <c r="C64" s="99"/>
      <c r="D64" s="99"/>
      <c r="E64" s="99"/>
      <c r="F64" s="99"/>
      <c r="G64" s="99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 t="s">
        <v>44</v>
      </c>
      <c r="Y64" s="13"/>
      <c r="Z64" s="13"/>
      <c r="AA64" s="13"/>
      <c r="AB64" s="13"/>
      <c r="AC64" s="13"/>
      <c r="AD64" s="13"/>
    </row>
    <row r="65" spans="1:30" ht="19.5" customHeight="1">
      <c r="A65" s="112" t="s">
        <v>74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69"/>
      <c r="Z65" s="33"/>
      <c r="AA65" s="33"/>
      <c r="AB65" s="33"/>
      <c r="AC65" s="33"/>
      <c r="AD65" s="33"/>
    </row>
    <row r="66" spans="1:25" ht="19.5" customHeight="1">
      <c r="A66" s="85" t="s">
        <v>6</v>
      </c>
      <c r="B66" s="85"/>
      <c r="C66" s="84" t="s">
        <v>5</v>
      </c>
      <c r="D66" s="84"/>
      <c r="E66" s="84" t="s">
        <v>45</v>
      </c>
      <c r="F66" s="84"/>
      <c r="G66" s="84" t="s">
        <v>10</v>
      </c>
      <c r="H66" s="84"/>
      <c r="I66" s="84" t="s">
        <v>11</v>
      </c>
      <c r="J66" s="84"/>
      <c r="K66" s="84" t="s">
        <v>12</v>
      </c>
      <c r="L66" s="84"/>
      <c r="M66" s="84" t="s">
        <v>62</v>
      </c>
      <c r="N66" s="84"/>
      <c r="O66" s="84" t="s">
        <v>13</v>
      </c>
      <c r="P66" s="84"/>
      <c r="Q66" s="84" t="s">
        <v>14</v>
      </c>
      <c r="R66" s="84"/>
      <c r="S66" s="84" t="s">
        <v>15</v>
      </c>
      <c r="T66" s="84"/>
      <c r="U66" s="84" t="s">
        <v>16</v>
      </c>
      <c r="V66" s="84"/>
      <c r="W66" s="84" t="s">
        <v>17</v>
      </c>
      <c r="X66" s="84"/>
      <c r="Y66" s="109"/>
    </row>
    <row r="67" spans="1:25" ht="19.5" customHeight="1" thickBot="1">
      <c r="A67" s="17"/>
      <c r="B67" s="17"/>
      <c r="C67" s="18" t="s">
        <v>1</v>
      </c>
      <c r="D67" s="18" t="s">
        <v>2</v>
      </c>
      <c r="E67" s="18" t="s">
        <v>1</v>
      </c>
      <c r="F67" s="18" t="s">
        <v>2</v>
      </c>
      <c r="G67" s="18" t="s">
        <v>1</v>
      </c>
      <c r="H67" s="18" t="s">
        <v>2</v>
      </c>
      <c r="I67" s="18" t="s">
        <v>1</v>
      </c>
      <c r="J67" s="18" t="s">
        <v>2</v>
      </c>
      <c r="K67" s="18" t="s">
        <v>1</v>
      </c>
      <c r="L67" s="18" t="s">
        <v>2</v>
      </c>
      <c r="M67" s="18" t="s">
        <v>1</v>
      </c>
      <c r="N67" s="18" t="s">
        <v>2</v>
      </c>
      <c r="O67" s="18" t="s">
        <v>1</v>
      </c>
      <c r="P67" s="18" t="s">
        <v>2</v>
      </c>
      <c r="Q67" s="18" t="s">
        <v>1</v>
      </c>
      <c r="R67" s="18" t="s">
        <v>2</v>
      </c>
      <c r="S67" s="18" t="s">
        <v>1</v>
      </c>
      <c r="T67" s="18" t="s">
        <v>2</v>
      </c>
      <c r="U67" s="18" t="s">
        <v>1</v>
      </c>
      <c r="V67" s="18" t="s">
        <v>2</v>
      </c>
      <c r="W67" s="18" t="s">
        <v>1</v>
      </c>
      <c r="X67" s="18" t="s">
        <v>2</v>
      </c>
      <c r="Y67" s="109"/>
    </row>
    <row r="68" spans="1:25" ht="19.5" customHeight="1">
      <c r="A68" s="87" t="s">
        <v>40</v>
      </c>
      <c r="B68" s="63" t="s">
        <v>3</v>
      </c>
      <c r="C68" s="48">
        <v>12199116.18365888</v>
      </c>
      <c r="D68" s="48">
        <f>13781202.1713681-358</f>
        <v>13780844.1713681</v>
      </c>
      <c r="E68" s="48">
        <v>0</v>
      </c>
      <c r="F68" s="48">
        <f>12276218+56950</f>
        <v>12333168</v>
      </c>
      <c r="G68" s="48">
        <f>2408668+1533535+1948310</f>
        <v>5890513</v>
      </c>
      <c r="H68" s="48">
        <f>806638+4118945</f>
        <v>4925583</v>
      </c>
      <c r="I68" s="48">
        <v>250000</v>
      </c>
      <c r="J68" s="48">
        <v>0</v>
      </c>
      <c r="K68" s="48">
        <v>0</v>
      </c>
      <c r="L68" s="48">
        <v>280326</v>
      </c>
      <c r="M68" s="48">
        <v>0</v>
      </c>
      <c r="N68" s="48">
        <v>3072018</v>
      </c>
      <c r="O68" s="48">
        <v>1436350</v>
      </c>
      <c r="P68" s="48">
        <f>2216860+456016</f>
        <v>2672876</v>
      </c>
      <c r="Q68" s="48">
        <v>2167350</v>
      </c>
      <c r="R68" s="48">
        <f>90393+906641</f>
        <v>997034</v>
      </c>
      <c r="S68" s="48">
        <v>0</v>
      </c>
      <c r="T68" s="48">
        <v>0</v>
      </c>
      <c r="U68" s="48">
        <v>1766242</v>
      </c>
      <c r="V68" s="48">
        <v>0</v>
      </c>
      <c r="W68" s="48">
        <f aca="true" t="shared" si="12" ref="W68:X78">C68+G68+I68+K68+O68+Q68+S68+U68+E68+M68</f>
        <v>23709571.18365888</v>
      </c>
      <c r="X68" s="48">
        <f t="shared" si="12"/>
        <v>38061849.1713681</v>
      </c>
      <c r="Y68" s="109"/>
    </row>
    <row r="69" spans="1:25" ht="19.5" customHeight="1">
      <c r="A69" s="88"/>
      <c r="B69" s="63" t="s">
        <v>4</v>
      </c>
      <c r="C69" s="48">
        <v>0</v>
      </c>
      <c r="D69" s="48">
        <v>0</v>
      </c>
      <c r="E69" s="48">
        <v>0</v>
      </c>
      <c r="F69" s="48">
        <v>2465</v>
      </c>
      <c r="G69" s="48">
        <v>0</v>
      </c>
      <c r="H69" s="48">
        <v>0</v>
      </c>
      <c r="I69" s="48">
        <v>0</v>
      </c>
      <c r="J69" s="48">
        <f>1034944</f>
        <v>1034944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136936</v>
      </c>
      <c r="Q69" s="48">
        <v>0</v>
      </c>
      <c r="R69" s="48">
        <v>954021</v>
      </c>
      <c r="S69" s="48">
        <v>0</v>
      </c>
      <c r="T69" s="48">
        <v>0</v>
      </c>
      <c r="U69" s="48">
        <v>0</v>
      </c>
      <c r="V69" s="48">
        <v>0</v>
      </c>
      <c r="W69" s="48">
        <f t="shared" si="12"/>
        <v>0</v>
      </c>
      <c r="X69" s="48">
        <f t="shared" si="12"/>
        <v>2128366</v>
      </c>
      <c r="Y69" s="109"/>
    </row>
    <row r="70" spans="1:25" ht="19.5" customHeight="1">
      <c r="A70" s="91" t="s">
        <v>0</v>
      </c>
      <c r="B70" s="8" t="s">
        <v>3</v>
      </c>
      <c r="C70" s="49">
        <v>0</v>
      </c>
      <c r="D70" s="49">
        <v>0</v>
      </c>
      <c r="E70" s="49">
        <v>0</v>
      </c>
      <c r="F70" s="49">
        <v>0</v>
      </c>
      <c r="G70" s="49">
        <v>22041312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5254897</v>
      </c>
      <c r="T70" s="49">
        <v>0</v>
      </c>
      <c r="U70" s="49">
        <v>0</v>
      </c>
      <c r="V70" s="49">
        <v>0</v>
      </c>
      <c r="W70" s="49">
        <f t="shared" si="12"/>
        <v>27296209</v>
      </c>
      <c r="X70" s="49">
        <f t="shared" si="12"/>
        <v>0</v>
      </c>
      <c r="Y70" s="109"/>
    </row>
    <row r="71" spans="1:25" ht="19.5" customHeight="1">
      <c r="A71" s="91"/>
      <c r="B71" s="9" t="s">
        <v>4</v>
      </c>
      <c r="C71" s="50">
        <v>0</v>
      </c>
      <c r="D71" s="50">
        <v>0</v>
      </c>
      <c r="E71" s="50">
        <v>3750</v>
      </c>
      <c r="F71" s="50">
        <v>0</v>
      </c>
      <c r="G71" s="50">
        <v>5180586.46165267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f t="shared" si="12"/>
        <v>5184336.46165267</v>
      </c>
      <c r="X71" s="50">
        <f t="shared" si="12"/>
        <v>0</v>
      </c>
      <c r="Y71" s="109"/>
    </row>
    <row r="72" spans="1:25" ht="19.5" customHeight="1">
      <c r="A72" s="88" t="s">
        <v>7</v>
      </c>
      <c r="B72" s="63" t="s">
        <v>3</v>
      </c>
      <c r="C72" s="48">
        <v>0</v>
      </c>
      <c r="D72" s="48">
        <v>16673782</v>
      </c>
      <c r="E72" s="48">
        <v>1969871</v>
      </c>
      <c r="F72" s="48">
        <v>3223734</v>
      </c>
      <c r="G72" s="48">
        <v>0</v>
      </c>
      <c r="H72" s="48">
        <v>20430289.6779661</v>
      </c>
      <c r="I72" s="48">
        <v>0</v>
      </c>
      <c r="J72" s="48">
        <v>13517175</v>
      </c>
      <c r="K72" s="48">
        <v>0</v>
      </c>
      <c r="L72" s="48">
        <v>14292807</v>
      </c>
      <c r="M72" s="48">
        <v>0</v>
      </c>
      <c r="N72" s="48">
        <v>627583</v>
      </c>
      <c r="O72" s="48">
        <v>0</v>
      </c>
      <c r="P72" s="48">
        <v>7907104</v>
      </c>
      <c r="Q72" s="48">
        <v>0</v>
      </c>
      <c r="R72" s="48">
        <f>14169370+1367980</f>
        <v>15537350</v>
      </c>
      <c r="S72" s="48">
        <v>0</v>
      </c>
      <c r="T72" s="48">
        <v>0</v>
      </c>
      <c r="U72" s="48">
        <v>0</v>
      </c>
      <c r="V72" s="48">
        <v>0</v>
      </c>
      <c r="W72" s="48">
        <f t="shared" si="12"/>
        <v>1969871</v>
      </c>
      <c r="X72" s="48">
        <f t="shared" si="12"/>
        <v>92209824.6779661</v>
      </c>
      <c r="Y72" s="109"/>
    </row>
    <row r="73" spans="1:25" ht="19.5" customHeight="1">
      <c r="A73" s="88"/>
      <c r="B73" s="63" t="s">
        <v>4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f t="shared" si="12"/>
        <v>0</v>
      </c>
      <c r="X73" s="48">
        <f t="shared" si="12"/>
        <v>0</v>
      </c>
      <c r="Y73" s="109"/>
    </row>
    <row r="74" spans="1:25" ht="19.5" customHeight="1">
      <c r="A74" s="91" t="s">
        <v>8</v>
      </c>
      <c r="B74" s="8" t="s">
        <v>3</v>
      </c>
      <c r="C74" s="50">
        <v>0</v>
      </c>
      <c r="D74" s="49">
        <v>0</v>
      </c>
      <c r="E74" s="49">
        <v>0</v>
      </c>
      <c r="F74" s="49">
        <v>0</v>
      </c>
      <c r="G74" s="49">
        <v>0</v>
      </c>
      <c r="H74" s="62">
        <v>0</v>
      </c>
      <c r="I74" s="49">
        <v>0</v>
      </c>
      <c r="J74" s="49">
        <v>4590000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f t="shared" si="12"/>
        <v>0</v>
      </c>
      <c r="X74" s="49">
        <f t="shared" si="12"/>
        <v>4590000</v>
      </c>
      <c r="Y74" s="109"/>
    </row>
    <row r="75" spans="1:25" ht="19.5" customHeight="1">
      <c r="A75" s="91"/>
      <c r="B75" s="9" t="s">
        <v>4</v>
      </c>
      <c r="C75" s="50">
        <v>0</v>
      </c>
      <c r="D75" s="50">
        <v>10811006</v>
      </c>
      <c r="E75" s="50">
        <v>0</v>
      </c>
      <c r="F75" s="50">
        <v>4918375</v>
      </c>
      <c r="G75" s="49">
        <v>1685227.584912623</v>
      </c>
      <c r="H75" s="49">
        <f>13842752.1150874-50398</f>
        <v>13792354.1150874</v>
      </c>
      <c r="I75" s="50">
        <v>0</v>
      </c>
      <c r="J75" s="50">
        <v>0</v>
      </c>
      <c r="K75" s="50">
        <v>0</v>
      </c>
      <c r="L75" s="50">
        <v>7765258</v>
      </c>
      <c r="M75" s="50">
        <v>0</v>
      </c>
      <c r="N75" s="49">
        <f>8744500+500000</f>
        <v>9244500</v>
      </c>
      <c r="O75" s="50">
        <v>0</v>
      </c>
      <c r="P75" s="50">
        <v>13664741</v>
      </c>
      <c r="Q75" s="50">
        <v>0</v>
      </c>
      <c r="R75" s="50">
        <f>250000+2794549</f>
        <v>3044549</v>
      </c>
      <c r="S75" s="50">
        <v>0</v>
      </c>
      <c r="T75" s="50">
        <v>3947654</v>
      </c>
      <c r="U75" s="50">
        <v>0</v>
      </c>
      <c r="V75" s="50">
        <v>1349696</v>
      </c>
      <c r="W75" s="50">
        <f t="shared" si="12"/>
        <v>1685227.584912623</v>
      </c>
      <c r="X75" s="50">
        <f t="shared" si="12"/>
        <v>68538133.11508739</v>
      </c>
      <c r="Y75" s="109"/>
    </row>
    <row r="76" spans="1:25" ht="19.5" customHeight="1">
      <c r="A76" s="88" t="s">
        <v>9</v>
      </c>
      <c r="B76" s="63" t="s">
        <v>3</v>
      </c>
      <c r="C76" s="48">
        <v>0</v>
      </c>
      <c r="D76" s="48">
        <v>0</v>
      </c>
      <c r="E76" s="48">
        <v>0</v>
      </c>
      <c r="F76" s="48">
        <v>616856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339786</v>
      </c>
      <c r="U76" s="48">
        <v>0</v>
      </c>
      <c r="V76" s="48">
        <v>0</v>
      </c>
      <c r="W76" s="48">
        <f t="shared" si="12"/>
        <v>0</v>
      </c>
      <c r="X76" s="48">
        <f t="shared" si="12"/>
        <v>956642</v>
      </c>
      <c r="Y76" s="109"/>
    </row>
    <row r="77" spans="1:25" ht="19.5" customHeight="1">
      <c r="A77" s="88"/>
      <c r="B77" s="63" t="s">
        <v>4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f t="shared" si="12"/>
        <v>0</v>
      </c>
      <c r="X77" s="48">
        <f t="shared" si="12"/>
        <v>0</v>
      </c>
      <c r="Y77" s="109"/>
    </row>
    <row r="78" spans="1:25" ht="19.5" customHeight="1">
      <c r="A78" s="89" t="s">
        <v>19</v>
      </c>
      <c r="B78" s="64"/>
      <c r="C78" s="51">
        <f aca="true" t="shared" si="13" ref="C78:J78">SUM(C68:C77)</f>
        <v>12199116.18365888</v>
      </c>
      <c r="D78" s="51">
        <f t="shared" si="13"/>
        <v>41265632.1713681</v>
      </c>
      <c r="E78" s="51">
        <f t="shared" si="13"/>
        <v>1973621</v>
      </c>
      <c r="F78" s="51">
        <f t="shared" si="13"/>
        <v>21094598</v>
      </c>
      <c r="G78" s="51">
        <f t="shared" si="13"/>
        <v>34797639.046565294</v>
      </c>
      <c r="H78" s="51">
        <f t="shared" si="13"/>
        <v>39148226.7930535</v>
      </c>
      <c r="I78" s="51">
        <f t="shared" si="13"/>
        <v>250000</v>
      </c>
      <c r="J78" s="51">
        <f t="shared" si="13"/>
        <v>19142119</v>
      </c>
      <c r="K78" s="51">
        <f aca="true" t="shared" si="14" ref="K78:V78">SUM(K68:K77)</f>
        <v>0</v>
      </c>
      <c r="L78" s="51">
        <f t="shared" si="14"/>
        <v>22338391</v>
      </c>
      <c r="M78" s="51">
        <f t="shared" si="14"/>
        <v>0</v>
      </c>
      <c r="N78" s="51">
        <f t="shared" si="14"/>
        <v>12944101</v>
      </c>
      <c r="O78" s="51">
        <f t="shared" si="14"/>
        <v>1436350</v>
      </c>
      <c r="P78" s="51">
        <f t="shared" si="14"/>
        <v>24381657</v>
      </c>
      <c r="Q78" s="51">
        <f t="shared" si="14"/>
        <v>2167350</v>
      </c>
      <c r="R78" s="51">
        <f t="shared" si="14"/>
        <v>20532954</v>
      </c>
      <c r="S78" s="51">
        <f t="shared" si="14"/>
        <v>5254897</v>
      </c>
      <c r="T78" s="51">
        <f t="shared" si="14"/>
        <v>4287440</v>
      </c>
      <c r="U78" s="51">
        <f t="shared" si="14"/>
        <v>1766242</v>
      </c>
      <c r="V78" s="51">
        <f t="shared" si="14"/>
        <v>1349696</v>
      </c>
      <c r="W78" s="51">
        <f t="shared" si="12"/>
        <v>59845215.23022418</v>
      </c>
      <c r="X78" s="51">
        <f t="shared" si="12"/>
        <v>206484814.9644216</v>
      </c>
      <c r="Y78" s="109"/>
    </row>
    <row r="79" spans="1:25" ht="19.5" customHeight="1" thickBot="1">
      <c r="A79" s="90"/>
      <c r="B79" s="21"/>
      <c r="C79" s="102">
        <f>C78+D78</f>
        <v>53464748.355026975</v>
      </c>
      <c r="D79" s="102"/>
      <c r="E79" s="102">
        <f>E78+F78</f>
        <v>23068219</v>
      </c>
      <c r="F79" s="102"/>
      <c r="G79" s="102">
        <f>G78+H78</f>
        <v>73945865.8396188</v>
      </c>
      <c r="H79" s="102"/>
      <c r="I79" s="102">
        <f>I78+J78</f>
        <v>19392119</v>
      </c>
      <c r="J79" s="102"/>
      <c r="K79" s="102">
        <f>K78+L78</f>
        <v>22338391</v>
      </c>
      <c r="L79" s="102"/>
      <c r="M79" s="102">
        <f>M78+N78</f>
        <v>12944101</v>
      </c>
      <c r="N79" s="102"/>
      <c r="O79" s="102">
        <f>O78+P78</f>
        <v>25818007</v>
      </c>
      <c r="P79" s="102"/>
      <c r="Q79" s="102">
        <f>Q78+R78</f>
        <v>22700304</v>
      </c>
      <c r="R79" s="102"/>
      <c r="S79" s="102">
        <f>S78+T78</f>
        <v>9542337</v>
      </c>
      <c r="T79" s="102"/>
      <c r="U79" s="101">
        <f>U78+V78</f>
        <v>3115938</v>
      </c>
      <c r="V79" s="101"/>
      <c r="W79" s="101">
        <f>W78+X78</f>
        <v>266330030.19464576</v>
      </c>
      <c r="X79" s="101"/>
      <c r="Y79" s="109"/>
    </row>
    <row r="80" spans="1:25" s="83" customFormat="1" ht="21.7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58"/>
    </row>
    <row r="81" spans="3:25" ht="19.5" customHeight="1" thickBot="1">
      <c r="C81" s="114" t="s">
        <v>69</v>
      </c>
      <c r="D81" s="114"/>
      <c r="E81" s="114"/>
      <c r="F81" s="34"/>
      <c r="G81" s="34"/>
      <c r="H81" s="33"/>
      <c r="I81" s="33"/>
      <c r="J81" s="33"/>
      <c r="K81" s="33"/>
      <c r="L81" s="33"/>
      <c r="P81" s="72"/>
      <c r="Y81" s="58"/>
    </row>
    <row r="82" spans="3:25" ht="19.5" customHeight="1" thickBot="1">
      <c r="C82" s="43"/>
      <c r="D82" s="43"/>
      <c r="E82" s="43"/>
      <c r="F82" s="115" t="s">
        <v>63</v>
      </c>
      <c r="G82" s="115"/>
      <c r="H82" s="115" t="s">
        <v>64</v>
      </c>
      <c r="I82" s="115"/>
      <c r="J82" s="115" t="s">
        <v>70</v>
      </c>
      <c r="K82" s="115"/>
      <c r="L82" s="115" t="s">
        <v>74</v>
      </c>
      <c r="M82" s="115"/>
      <c r="N82" s="44"/>
      <c r="O82" s="73"/>
      <c r="P82" s="74"/>
      <c r="Y82" s="58"/>
    </row>
    <row r="83" spans="3:14" ht="19.5" customHeight="1">
      <c r="C83" s="107"/>
      <c r="D83" s="107"/>
      <c r="E83" s="107"/>
      <c r="F83" s="70" t="s">
        <v>46</v>
      </c>
      <c r="G83" s="70" t="s">
        <v>47</v>
      </c>
      <c r="H83" s="70" t="s">
        <v>46</v>
      </c>
      <c r="I83" s="70" t="s">
        <v>47</v>
      </c>
      <c r="J83" s="70" t="s">
        <v>46</v>
      </c>
      <c r="K83" s="70" t="s">
        <v>47</v>
      </c>
      <c r="L83" s="45" t="s">
        <v>46</v>
      </c>
      <c r="M83" s="45" t="s">
        <v>47</v>
      </c>
      <c r="N83" s="71"/>
    </row>
    <row r="84" spans="3:16" ht="30" customHeight="1">
      <c r="C84" s="108" t="s">
        <v>48</v>
      </c>
      <c r="D84" s="108"/>
      <c r="E84" s="108"/>
      <c r="F84" s="57" t="s">
        <v>49</v>
      </c>
      <c r="G84" s="57" t="s">
        <v>50</v>
      </c>
      <c r="H84" s="40" t="s">
        <v>49</v>
      </c>
      <c r="I84" s="40" t="s">
        <v>50</v>
      </c>
      <c r="J84" s="40" t="s">
        <v>49</v>
      </c>
      <c r="K84" s="40" t="s">
        <v>50</v>
      </c>
      <c r="L84" s="67" t="s">
        <v>49</v>
      </c>
      <c r="M84" s="67" t="s">
        <v>50</v>
      </c>
      <c r="N84" s="108" t="s">
        <v>51</v>
      </c>
      <c r="O84" s="108"/>
      <c r="P84" s="108"/>
    </row>
    <row r="85" spans="3:16" ht="19.5" customHeight="1">
      <c r="C85" s="103" t="s">
        <v>52</v>
      </c>
      <c r="D85" s="103"/>
      <c r="E85" s="103"/>
      <c r="F85" s="46">
        <v>100096605.98675494</v>
      </c>
      <c r="G85" s="46">
        <v>12039242.361861998</v>
      </c>
      <c r="H85" s="46">
        <v>100180518</v>
      </c>
      <c r="I85" s="46">
        <v>13807324</v>
      </c>
      <c r="J85" s="46">
        <v>100603545</v>
      </c>
      <c r="K85" s="46">
        <v>12638139</v>
      </c>
      <c r="L85" s="46">
        <f>103466749.474604-7280769+985872.34+4089180</f>
        <v>101261032.814604</v>
      </c>
      <c r="M85" s="75">
        <v>11557709</v>
      </c>
      <c r="N85" s="103" t="s">
        <v>53</v>
      </c>
      <c r="O85" s="103"/>
      <c r="P85" s="103"/>
    </row>
    <row r="86" spans="3:16" ht="19.5" customHeight="1">
      <c r="C86" s="104" t="s">
        <v>54</v>
      </c>
      <c r="D86" s="104"/>
      <c r="E86" s="104"/>
      <c r="F86" s="47">
        <f>7967351.166+961256</f>
        <v>8928607.166000001</v>
      </c>
      <c r="G86" s="47">
        <v>1472189.8</v>
      </c>
      <c r="H86" s="47">
        <v>10311404</v>
      </c>
      <c r="I86" s="47">
        <v>1604846</v>
      </c>
      <c r="J86" s="47">
        <v>8643463</v>
      </c>
      <c r="K86" s="47">
        <v>1535461</v>
      </c>
      <c r="L86" s="47">
        <v>7280769</v>
      </c>
      <c r="M86" s="76">
        <v>1259364.3599999999</v>
      </c>
      <c r="N86" s="104" t="s">
        <v>55</v>
      </c>
      <c r="O86" s="104"/>
      <c r="P86" s="104"/>
    </row>
    <row r="87" spans="3:16" ht="19.5" customHeight="1">
      <c r="C87" s="105" t="s">
        <v>56</v>
      </c>
      <c r="D87" s="105"/>
      <c r="E87" s="105"/>
      <c r="F87" s="46">
        <v>181809645.92439204</v>
      </c>
      <c r="G87" s="46">
        <v>43366560.49</v>
      </c>
      <c r="H87" s="46">
        <v>176474534</v>
      </c>
      <c r="I87" s="46">
        <v>45068415</v>
      </c>
      <c r="J87" s="46">
        <v>191136179</v>
      </c>
      <c r="K87" s="46">
        <v>52901213</v>
      </c>
      <c r="L87" s="46">
        <v>194176125</v>
      </c>
      <c r="M87" s="77">
        <v>56724633</v>
      </c>
      <c r="N87" s="105" t="s">
        <v>57</v>
      </c>
      <c r="O87" s="105"/>
      <c r="P87" s="105"/>
    </row>
    <row r="88" spans="3:16" ht="19.5" customHeight="1">
      <c r="C88" s="104" t="s">
        <v>58</v>
      </c>
      <c r="D88" s="104"/>
      <c r="E88" s="104"/>
      <c r="F88" s="47">
        <v>5001169.8</v>
      </c>
      <c r="G88" s="47">
        <v>0</v>
      </c>
      <c r="H88" s="47">
        <v>20735905</v>
      </c>
      <c r="I88" s="47">
        <v>0</v>
      </c>
      <c r="J88" s="47">
        <v>17310619</v>
      </c>
      <c r="K88" s="47">
        <v>0</v>
      </c>
      <c r="L88" s="47">
        <v>25785800</v>
      </c>
      <c r="M88" s="78">
        <v>0</v>
      </c>
      <c r="N88" s="104" t="s">
        <v>59</v>
      </c>
      <c r="O88" s="104"/>
      <c r="P88" s="104"/>
    </row>
    <row r="89" spans="3:16" ht="27" customHeight="1" thickBot="1">
      <c r="C89" s="106" t="s">
        <v>60</v>
      </c>
      <c r="D89" s="106"/>
      <c r="E89" s="106"/>
      <c r="F89" s="52">
        <f aca="true" t="shared" si="15" ref="F89:M89">SUM(F85:F88)</f>
        <v>295836028.877147</v>
      </c>
      <c r="G89" s="52">
        <f t="shared" si="15"/>
        <v>56877992.651862</v>
      </c>
      <c r="H89" s="52">
        <f t="shared" si="15"/>
        <v>307702361</v>
      </c>
      <c r="I89" s="52">
        <f t="shared" si="15"/>
        <v>60480585</v>
      </c>
      <c r="J89" s="52">
        <f t="shared" si="15"/>
        <v>317693806</v>
      </c>
      <c r="K89" s="52">
        <f t="shared" si="15"/>
        <v>67074813</v>
      </c>
      <c r="L89" s="52">
        <f t="shared" si="15"/>
        <v>328503726.814604</v>
      </c>
      <c r="M89" s="52">
        <f t="shared" si="15"/>
        <v>69541706.36</v>
      </c>
      <c r="N89" s="106" t="s">
        <v>61</v>
      </c>
      <c r="O89" s="106"/>
      <c r="P89" s="106"/>
    </row>
    <row r="90" spans="2:30" ht="19.5" customHeight="1">
      <c r="B90" s="81"/>
      <c r="C90" s="82"/>
      <c r="D90" s="81"/>
      <c r="E90" s="81"/>
      <c r="F90" s="81"/>
      <c r="G90" s="81"/>
      <c r="H90" s="81"/>
      <c r="I90" s="81"/>
      <c r="P90" s="80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</sheetData>
  <sheetProtection/>
  <mergeCells count="162">
    <mergeCell ref="N84:P84"/>
    <mergeCell ref="C81:E81"/>
    <mergeCell ref="F82:G82"/>
    <mergeCell ref="H82:I82"/>
    <mergeCell ref="J82:K82"/>
    <mergeCell ref="L82:M82"/>
    <mergeCell ref="N89:P89"/>
    <mergeCell ref="N88:P88"/>
    <mergeCell ref="N87:P87"/>
    <mergeCell ref="N86:P86"/>
    <mergeCell ref="N85:P85"/>
    <mergeCell ref="A65:X65"/>
    <mergeCell ref="O79:P79"/>
    <mergeCell ref="Q79:R79"/>
    <mergeCell ref="S79:T79"/>
    <mergeCell ref="U79:V79"/>
    <mergeCell ref="W79:X79"/>
    <mergeCell ref="A80:I80"/>
    <mergeCell ref="J80:X80"/>
    <mergeCell ref="C79:D79"/>
    <mergeCell ref="E79:F79"/>
    <mergeCell ref="G79:H79"/>
    <mergeCell ref="I79:J79"/>
    <mergeCell ref="K79:L79"/>
    <mergeCell ref="M79:N79"/>
    <mergeCell ref="S66:T66"/>
    <mergeCell ref="U66:V66"/>
    <mergeCell ref="W66:X66"/>
    <mergeCell ref="Y66:Y79"/>
    <mergeCell ref="A68:A69"/>
    <mergeCell ref="A70:A71"/>
    <mergeCell ref="A72:A73"/>
    <mergeCell ref="A74:A75"/>
    <mergeCell ref="A76:A77"/>
    <mergeCell ref="A78:A79"/>
    <mergeCell ref="G66:H66"/>
    <mergeCell ref="I66:J66"/>
    <mergeCell ref="K66:L66"/>
    <mergeCell ref="M66:N66"/>
    <mergeCell ref="O66:P66"/>
    <mergeCell ref="Q66:R66"/>
    <mergeCell ref="A62:D62"/>
    <mergeCell ref="A64:G64"/>
    <mergeCell ref="S59:T59"/>
    <mergeCell ref="U59:V59"/>
    <mergeCell ref="W59:X59"/>
    <mergeCell ref="G59:H59"/>
    <mergeCell ref="I59:J59"/>
    <mergeCell ref="K59:L59"/>
    <mergeCell ref="M59:N59"/>
    <mergeCell ref="O59:P59"/>
    <mergeCell ref="Q59:R59"/>
    <mergeCell ref="A52:A53"/>
    <mergeCell ref="A54:A55"/>
    <mergeCell ref="A56:A57"/>
    <mergeCell ref="A58:A59"/>
    <mergeCell ref="C59:D59"/>
    <mergeCell ref="E59:F59"/>
    <mergeCell ref="Q46:R46"/>
    <mergeCell ref="S46:T46"/>
    <mergeCell ref="U46:V46"/>
    <mergeCell ref="W46:X46"/>
    <mergeCell ref="A48:A49"/>
    <mergeCell ref="A50:A51"/>
    <mergeCell ref="A46:B46"/>
    <mergeCell ref="I46:J46"/>
    <mergeCell ref="K46:L46"/>
    <mergeCell ref="M46:N46"/>
    <mergeCell ref="C89:E89"/>
    <mergeCell ref="C83:E83"/>
    <mergeCell ref="A41:E41"/>
    <mergeCell ref="H41:X41"/>
    <mergeCell ref="A42:D42"/>
    <mergeCell ref="H42:X42"/>
    <mergeCell ref="A44:G44"/>
    <mergeCell ref="H44:X44"/>
    <mergeCell ref="A45:X45"/>
    <mergeCell ref="C84:E84"/>
    <mergeCell ref="C85:E85"/>
    <mergeCell ref="C86:E86"/>
    <mergeCell ref="C87:E87"/>
    <mergeCell ref="C88:E88"/>
    <mergeCell ref="E39:F39"/>
    <mergeCell ref="G39:H39"/>
    <mergeCell ref="C46:D46"/>
    <mergeCell ref="E46:F46"/>
    <mergeCell ref="G46:H46"/>
    <mergeCell ref="A61:E61"/>
    <mergeCell ref="M39:N39"/>
    <mergeCell ref="O39:P39"/>
    <mergeCell ref="A21:E21"/>
    <mergeCell ref="H21:X21"/>
    <mergeCell ref="A22:D22"/>
    <mergeCell ref="H22:X22"/>
    <mergeCell ref="Q39:R39"/>
    <mergeCell ref="S39:T39"/>
    <mergeCell ref="U39:V39"/>
    <mergeCell ref="W39:X39"/>
    <mergeCell ref="A30:A31"/>
    <mergeCell ref="A32:A33"/>
    <mergeCell ref="A34:A35"/>
    <mergeCell ref="A36:A37"/>
    <mergeCell ref="A38:A39"/>
    <mergeCell ref="C39:D39"/>
    <mergeCell ref="I39:J39"/>
    <mergeCell ref="K39:L39"/>
    <mergeCell ref="O26:P26"/>
    <mergeCell ref="Q26:R26"/>
    <mergeCell ref="G26:H26"/>
    <mergeCell ref="I26:J26"/>
    <mergeCell ref="K26:L26"/>
    <mergeCell ref="M26:N26"/>
    <mergeCell ref="S26:T26"/>
    <mergeCell ref="U26:V26"/>
    <mergeCell ref="W26:X26"/>
    <mergeCell ref="A28:A29"/>
    <mergeCell ref="A24:G24"/>
    <mergeCell ref="H24:X24"/>
    <mergeCell ref="A25:X25"/>
    <mergeCell ref="A26:B26"/>
    <mergeCell ref="C26:D26"/>
    <mergeCell ref="E26:F26"/>
    <mergeCell ref="A2:D2"/>
    <mergeCell ref="A4:G4"/>
    <mergeCell ref="A6:B6"/>
    <mergeCell ref="U19:V19"/>
    <mergeCell ref="C19:D19"/>
    <mergeCell ref="W19:X19"/>
    <mergeCell ref="K6:L6"/>
    <mergeCell ref="O6:P6"/>
    <mergeCell ref="E6:F6"/>
    <mergeCell ref="H2:X2"/>
    <mergeCell ref="H4:X4"/>
    <mergeCell ref="G19:H19"/>
    <mergeCell ref="O19:P19"/>
    <mergeCell ref="U6:V6"/>
    <mergeCell ref="S6:T6"/>
    <mergeCell ref="Q6:R6"/>
    <mergeCell ref="C6:D6"/>
    <mergeCell ref="A1:E1"/>
    <mergeCell ref="A14:A15"/>
    <mergeCell ref="G6:H6"/>
    <mergeCell ref="H1:X1"/>
    <mergeCell ref="A5:X5"/>
    <mergeCell ref="I6:J6"/>
    <mergeCell ref="K19:L19"/>
    <mergeCell ref="A12:A13"/>
    <mergeCell ref="A18:A19"/>
    <mergeCell ref="Q19:R19"/>
    <mergeCell ref="S19:T19"/>
    <mergeCell ref="A10:A11"/>
    <mergeCell ref="A16:A17"/>
    <mergeCell ref="O46:P46"/>
    <mergeCell ref="A66:B66"/>
    <mergeCell ref="C66:D66"/>
    <mergeCell ref="E66:F66"/>
    <mergeCell ref="W6:X6"/>
    <mergeCell ref="M6:N6"/>
    <mergeCell ref="M19:N19"/>
    <mergeCell ref="E19:F19"/>
    <mergeCell ref="A8:A9"/>
    <mergeCell ref="I19:J19"/>
  </mergeCells>
  <printOptions/>
  <pageMargins left="0.2" right="0.28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subject/>
  <dc:creator/>
  <cp:keywords/>
  <dc:description/>
  <cp:lastModifiedBy/>
  <dcterms:created xsi:type="dcterms:W3CDTF">2006-09-16T00:00:00Z</dcterms:created>
  <dcterms:modified xsi:type="dcterms:W3CDTF">2022-04-10T10:13:08Z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